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trobeuni-my.sharepoint.com/personal/l18tran_students_ltu_edu_au/Documents/1 PhD/Lab book/"/>
    </mc:Choice>
  </mc:AlternateContent>
  <xr:revisionPtr revIDLastSave="100" documentId="8_{DADA291A-2583-4345-925A-321AEA817377}" xr6:coauthVersionLast="47" xr6:coauthVersionMax="47" xr10:uidLastSave="{B3CED9F7-C0C1-4812-97F1-DD0DDD68E3A4}"/>
  <bookViews>
    <workbookView xWindow="-120" yWindow="-120" windowWidth="29040" windowHeight="17520" firstSheet="1" activeTab="6" xr2:uid="{17946E06-3EAA-44E7-A582-67F3724BC19C}"/>
  </bookViews>
  <sheets>
    <sheet name="FhLAMP std curves" sheetId="6" r:id="rId1"/>
    <sheet name="SpikedDilutionAssessment" sheetId="7" r:id="rId2"/>
    <sheet name="SpikedFaecesgDNA" sheetId="1" r:id="rId3"/>
    <sheet name="FormattedSpikedFaecesgDNA" sheetId="2" r:id="rId4"/>
    <sheet name="SpikedFaecesEggs" sheetId="3" r:id="rId5"/>
    <sheet name="SpikedWater" sheetId="4" r:id="rId6"/>
    <sheet name="EPG Quant" sheetId="5" r:id="rId7"/>
  </sheets>
  <externalReferences>
    <externalReference r:id="rId8"/>
    <externalReference r:id="rId9"/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7" l="1"/>
  <c r="L40" i="7"/>
  <c r="I40" i="7"/>
  <c r="F40" i="7"/>
  <c r="C40" i="7"/>
  <c r="L38" i="7"/>
  <c r="I38" i="7"/>
  <c r="F38" i="7"/>
  <c r="C38" i="7"/>
  <c r="L36" i="7"/>
  <c r="I36" i="7"/>
  <c r="F36" i="7"/>
  <c r="C36" i="7"/>
  <c r="L34" i="7"/>
  <c r="I34" i="7"/>
  <c r="F34" i="7"/>
  <c r="C34" i="7"/>
  <c r="L32" i="7"/>
  <c r="I32" i="7"/>
  <c r="F32" i="7"/>
  <c r="C32" i="7"/>
  <c r="L30" i="7"/>
  <c r="I30" i="7"/>
  <c r="F30" i="7"/>
  <c r="C30" i="7"/>
  <c r="E27" i="7"/>
  <c r="D27" i="7"/>
  <c r="C27" i="7"/>
  <c r="B27" i="7"/>
  <c r="I11" i="7"/>
  <c r="I9" i="7"/>
  <c r="I7" i="7"/>
  <c r="I5" i="7"/>
  <c r="E15" i="7"/>
  <c r="E14" i="7"/>
  <c r="B14" i="7"/>
  <c r="B13" i="7"/>
  <c r="E12" i="7"/>
  <c r="D12" i="7"/>
  <c r="C12" i="7"/>
  <c r="E11" i="7"/>
  <c r="D11" i="7"/>
  <c r="B11" i="7"/>
  <c r="E10" i="7"/>
  <c r="D10" i="7"/>
  <c r="C10" i="7"/>
  <c r="B10" i="7"/>
  <c r="E9" i="7"/>
  <c r="D9" i="7"/>
  <c r="C9" i="7"/>
  <c r="B9" i="7"/>
  <c r="E8" i="7"/>
  <c r="C8" i="7"/>
  <c r="B8" i="7"/>
  <c r="E7" i="7"/>
  <c r="D7" i="7"/>
  <c r="C7" i="7"/>
  <c r="B7" i="7"/>
  <c r="E6" i="7"/>
  <c r="D6" i="7"/>
  <c r="C6" i="7"/>
  <c r="B6" i="7"/>
  <c r="C5" i="7"/>
  <c r="AE48" i="6" l="1"/>
  <c r="AE46" i="6"/>
  <c r="AE44" i="6"/>
  <c r="AE42" i="6"/>
  <c r="AE40" i="6"/>
  <c r="AE38" i="6"/>
  <c r="E16" i="6"/>
  <c r="C16" i="6"/>
  <c r="E15" i="6"/>
  <c r="L14" i="6"/>
  <c r="E14" i="6"/>
  <c r="L13" i="6"/>
  <c r="L12" i="6"/>
  <c r="E12" i="6"/>
  <c r="L11" i="6"/>
  <c r="E11" i="6"/>
  <c r="L10" i="6"/>
  <c r="N9" i="6"/>
  <c r="O9" i="6" s="1"/>
  <c r="M9" i="6"/>
  <c r="L9" i="6"/>
  <c r="C7" i="6"/>
  <c r="A7" i="6" s="1"/>
  <c r="L6" i="6"/>
  <c r="K6" i="6"/>
  <c r="J6" i="6"/>
  <c r="I6" i="6"/>
  <c r="H6" i="6"/>
  <c r="G6" i="6"/>
  <c r="A6" i="6" s="1"/>
  <c r="F6" i="6"/>
  <c r="D6" i="6"/>
  <c r="C6" i="6"/>
  <c r="C15" i="6" s="1"/>
  <c r="L5" i="6"/>
  <c r="K5" i="6"/>
  <c r="I5" i="6"/>
  <c r="F5" i="6"/>
  <c r="A5" i="6" s="1"/>
  <c r="D5" i="6"/>
  <c r="C5" i="6"/>
  <c r="L4" i="6"/>
  <c r="J4" i="6"/>
  <c r="I4" i="6"/>
  <c r="C4" i="6"/>
  <c r="C13" i="6" s="1"/>
  <c r="A4" i="6"/>
  <c r="L3" i="6"/>
  <c r="K3" i="6"/>
  <c r="I3" i="6"/>
  <c r="H3" i="6"/>
  <c r="C3" i="6"/>
  <c r="N13" i="6" s="1"/>
  <c r="A3" i="6"/>
  <c r="K2" i="6"/>
  <c r="J2" i="6"/>
  <c r="A2" i="6" s="1"/>
  <c r="I2" i="6"/>
  <c r="H2" i="6"/>
  <c r="F2" i="6"/>
  <c r="E2" i="6"/>
  <c r="D2" i="6"/>
  <c r="C2" i="6"/>
  <c r="N14" i="6" s="1"/>
  <c r="C11" i="6" l="1"/>
  <c r="M12" i="6"/>
  <c r="C14" i="6"/>
  <c r="M11" i="6"/>
  <c r="N11" i="6"/>
  <c r="O11" i="6" s="1"/>
  <c r="M14" i="6"/>
  <c r="O14" i="6" s="1"/>
  <c r="N10" i="6"/>
  <c r="C12" i="6"/>
  <c r="M13" i="6"/>
  <c r="O13" i="6" s="1"/>
  <c r="N12" i="6"/>
  <c r="O12" i="6" s="1"/>
  <c r="M10" i="6"/>
  <c r="O10" i="6" l="1"/>
  <c r="A56" i="5" l="1"/>
  <c r="A54" i="5"/>
  <c r="A53" i="5"/>
  <c r="A55" i="5" s="1"/>
  <c r="V38" i="4"/>
  <c r="V37" i="4"/>
  <c r="F33" i="4"/>
  <c r="E33" i="4"/>
  <c r="G32" i="4"/>
  <c r="F32" i="4"/>
  <c r="E32" i="4"/>
  <c r="F31" i="4"/>
  <c r="G31" i="4" s="1"/>
  <c r="E31" i="4"/>
  <c r="F30" i="4"/>
  <c r="G30" i="4" s="1"/>
  <c r="E30" i="4"/>
  <c r="F29" i="4"/>
  <c r="G29" i="4" s="1"/>
  <c r="E29" i="4"/>
  <c r="Q20" i="4"/>
  <c r="Q19" i="4"/>
  <c r="O16" i="4"/>
  <c r="N16" i="4"/>
  <c r="I16" i="4"/>
  <c r="H16" i="4"/>
  <c r="C16" i="4"/>
  <c r="B16" i="4"/>
  <c r="P15" i="4"/>
  <c r="O15" i="4"/>
  <c r="N15" i="4"/>
  <c r="I15" i="4"/>
  <c r="H15" i="4"/>
  <c r="C15" i="4"/>
  <c r="B15" i="4"/>
  <c r="O14" i="4"/>
  <c r="P14" i="4" s="1"/>
  <c r="N14" i="4"/>
  <c r="I14" i="4"/>
  <c r="H14" i="4"/>
  <c r="C14" i="4"/>
  <c r="B14" i="4"/>
  <c r="O13" i="4"/>
  <c r="P13" i="4" s="1"/>
  <c r="N13" i="4"/>
  <c r="I13" i="4"/>
  <c r="H13" i="4"/>
  <c r="C13" i="4"/>
  <c r="B13" i="4"/>
  <c r="O12" i="4"/>
  <c r="P12" i="4" s="1"/>
  <c r="N12" i="4"/>
  <c r="I12" i="4"/>
  <c r="H12" i="4"/>
  <c r="C12" i="4"/>
  <c r="B12" i="4"/>
  <c r="G34" i="3"/>
  <c r="F34" i="3"/>
  <c r="E34" i="3"/>
  <c r="D34" i="3"/>
  <c r="C34" i="3"/>
  <c r="B34" i="3"/>
  <c r="G33" i="3"/>
  <c r="F33" i="3"/>
  <c r="E33" i="3"/>
  <c r="D33" i="3"/>
  <c r="C33" i="3"/>
  <c r="B33" i="3"/>
  <c r="G32" i="3"/>
  <c r="F32" i="3"/>
  <c r="E32" i="3"/>
  <c r="D32" i="3"/>
  <c r="C32" i="3"/>
  <c r="B32" i="3"/>
  <c r="G31" i="3"/>
  <c r="F31" i="3"/>
  <c r="E31" i="3"/>
  <c r="D31" i="3"/>
  <c r="C31" i="3"/>
  <c r="B31" i="3"/>
  <c r="G30" i="3"/>
  <c r="F30" i="3"/>
  <c r="E30" i="3"/>
  <c r="D30" i="3"/>
  <c r="C30" i="3"/>
  <c r="B30" i="3"/>
  <c r="G26" i="3"/>
  <c r="F26" i="3"/>
  <c r="E26" i="3"/>
  <c r="D26" i="3"/>
  <c r="C26" i="3"/>
  <c r="B26" i="3"/>
  <c r="G25" i="3"/>
  <c r="F25" i="3"/>
  <c r="E25" i="3"/>
  <c r="D25" i="3"/>
  <c r="C25" i="3"/>
  <c r="B25" i="3"/>
  <c r="G24" i="3"/>
  <c r="F24" i="3"/>
  <c r="E24" i="3"/>
  <c r="D24" i="3"/>
  <c r="C24" i="3"/>
  <c r="B24" i="3"/>
  <c r="G23" i="3"/>
  <c r="F23" i="3"/>
  <c r="E23" i="3"/>
  <c r="D23" i="3"/>
  <c r="C23" i="3"/>
  <c r="B23" i="3"/>
  <c r="G22" i="3"/>
  <c r="F22" i="3"/>
  <c r="E22" i="3"/>
  <c r="D22" i="3"/>
  <c r="C22" i="3"/>
  <c r="B22" i="3"/>
</calcChain>
</file>

<file path=xl/sharedStrings.xml><?xml version="1.0" encoding="utf-8"?>
<sst xmlns="http://schemas.openxmlformats.org/spreadsheetml/2006/main" count="287" uniqueCount="105">
  <si>
    <t>Dilution factor assessed</t>
  </si>
  <si>
    <r>
      <t>Avg T</t>
    </r>
    <r>
      <rPr>
        <b/>
        <vertAlign val="subscript"/>
        <sz val="17"/>
        <color rgb="FF000000"/>
        <rFont val="Calibri Light"/>
      </rPr>
      <t>p</t>
    </r>
  </si>
  <si>
    <t>1 µg</t>
  </si>
  <si>
    <r>
      <t>T</t>
    </r>
    <r>
      <rPr>
        <b/>
        <vertAlign val="subscript"/>
        <sz val="17"/>
        <color rgb="FF000000"/>
        <rFont val="Calibri Light"/>
      </rPr>
      <t>p</t>
    </r>
    <r>
      <rPr>
        <b/>
        <sz val="17"/>
        <color rgb="FF000000"/>
        <rFont val="Calibri Light"/>
      </rPr>
      <t xml:space="preserve"> stdev</t>
    </r>
  </si>
  <si>
    <t>0.5 µg</t>
  </si>
  <si>
    <r>
      <t>Avg T</t>
    </r>
    <r>
      <rPr>
        <b/>
        <vertAlign val="subscript"/>
        <sz val="17"/>
        <color rgb="FF000000"/>
        <rFont val="Calibri Light"/>
      </rPr>
      <t xml:space="preserve">p </t>
    </r>
    <r>
      <rPr>
        <b/>
        <sz val="17"/>
        <color rgb="FF000000"/>
        <rFont val="Calibri Light"/>
      </rPr>
      <t>0.25 µg</t>
    </r>
  </si>
  <si>
    <r>
      <t>Avg T</t>
    </r>
    <r>
      <rPr>
        <b/>
        <vertAlign val="subscript"/>
        <sz val="17"/>
        <color rgb="FF000000"/>
        <rFont val="Calibri Light"/>
      </rPr>
      <t xml:space="preserve">p </t>
    </r>
    <r>
      <rPr>
        <b/>
        <sz val="17"/>
        <color rgb="FF000000"/>
        <rFont val="Calibri Light"/>
      </rPr>
      <t>0.125 µg</t>
    </r>
  </si>
  <si>
    <t>Neat</t>
  </si>
  <si>
    <t>ND</t>
  </si>
  <si>
    <t>-</t>
  </si>
  <si>
    <t>1/100</t>
  </si>
  <si>
    <t>1/200</t>
  </si>
  <si>
    <t>1/500</t>
  </si>
  <si>
    <t>1/1000</t>
  </si>
  <si>
    <t>1/10</t>
  </si>
  <si>
    <t>1/20</t>
  </si>
  <si>
    <t>1/50</t>
  </si>
  <si>
    <t>Average Tp</t>
  </si>
  <si>
    <t>Buffer</t>
  </si>
  <si>
    <t>Chelex</t>
  </si>
  <si>
    <t>GP</t>
  </si>
  <si>
    <t>TL</t>
  </si>
  <si>
    <t>SET</t>
  </si>
  <si>
    <t>EB</t>
  </si>
  <si>
    <t>AL</t>
  </si>
  <si>
    <t>NT</t>
  </si>
  <si>
    <t>+</t>
  </si>
  <si>
    <t>2414 0043</t>
  </si>
  <si>
    <t>2414 0045</t>
  </si>
  <si>
    <t>2414 0044</t>
  </si>
  <si>
    <t>2151 0357</t>
  </si>
  <si>
    <t>2414 0047</t>
  </si>
  <si>
    <t>2414 0046</t>
  </si>
  <si>
    <t>stev</t>
  </si>
  <si>
    <t>DNA concentration</t>
  </si>
  <si>
    <t>0.25 µg</t>
  </si>
  <si>
    <t>0.125 µg</t>
  </si>
  <si>
    <t>Avg</t>
  </si>
  <si>
    <t>SD</t>
  </si>
  <si>
    <t>+ve</t>
  </si>
  <si>
    <t>2414 0050 original run</t>
  </si>
  <si>
    <t>2151 0385</t>
  </si>
  <si>
    <t>rpt to get all in one run</t>
  </si>
  <si>
    <t>2151 0386</t>
  </si>
  <si>
    <t>250 mL vol, same dna quant</t>
  </si>
  <si>
    <t>2414 0051 repeat. Sample 11 12 0.25 ug rpt</t>
  </si>
  <si>
    <t xml:space="preserve">C2 = </t>
  </si>
  <si>
    <t>V1</t>
  </si>
  <si>
    <t>V2</t>
  </si>
  <si>
    <t>C1</t>
  </si>
  <si>
    <t>C2</t>
  </si>
  <si>
    <t>DNA maths:</t>
  </si>
  <si>
    <t>C2=C1xV1/V2</t>
  </si>
  <si>
    <t>SQ</t>
  </si>
  <si>
    <t>V2 = 50 mL ∴50000 μL</t>
  </si>
  <si>
    <t>1ug</t>
  </si>
  <si>
    <t>C1 = 100.4 ng/μL</t>
  </si>
  <si>
    <t>V1 = 1 μL</t>
  </si>
  <si>
    <t>100.4*1/50000=0.002 ng/μL</t>
  </si>
  <si>
    <t>CV</t>
  </si>
  <si>
    <t>**could only filter ~100 mL before filter clogged.</t>
  </si>
  <si>
    <t>50 ml Sq</t>
  </si>
  <si>
    <t>Same dna quant</t>
  </si>
  <si>
    <t>MED</t>
  </si>
  <si>
    <t>MIN</t>
  </si>
  <si>
    <t>MAX</t>
  </si>
  <si>
    <t>Pos ctrl</t>
  </si>
  <si>
    <t>DNA quantity (ug)</t>
  </si>
  <si>
    <t>Genie run file</t>
  </si>
  <si>
    <t>average</t>
  </si>
  <si>
    <t>5.00E+/-</t>
  </si>
  <si>
    <t>Copies/µL</t>
  </si>
  <si>
    <t xml:space="preserve">Log </t>
  </si>
  <si>
    <t>Average Cq</t>
  </si>
  <si>
    <t>Cq stdev</t>
  </si>
  <si>
    <t>%CV</t>
  </si>
  <si>
    <t>Cq stdev #</t>
  </si>
  <si>
    <t>Copied from runs above</t>
  </si>
  <si>
    <t>FhgLAMP</t>
  </si>
  <si>
    <t xml:space="preserve">DNA concentration - ng/µL </t>
  </si>
  <si>
    <t>Dilution</t>
  </si>
  <si>
    <t>neat</t>
  </si>
  <si>
    <t>17 n = 1</t>
  </si>
  <si>
    <t>13.45 n = 1</t>
  </si>
  <si>
    <t>+ve 5 ng/µL</t>
  </si>
  <si>
    <t>Exclude poop</t>
  </si>
  <si>
    <t>chelex</t>
  </si>
  <si>
    <t>PVP</t>
  </si>
  <si>
    <t>DNA  100 ng/µL vol delivered</t>
  </si>
  <si>
    <t>DNA spiked (ug)</t>
  </si>
  <si>
    <t>C2 = C1xV1/V2</t>
  </si>
  <si>
    <t xml:space="preserve">V2 = Chelex + PVP </t>
  </si>
  <si>
    <t xml:space="preserve">C2 DNA in ng/µL </t>
  </si>
  <si>
    <t>V1 = DNA</t>
  </si>
  <si>
    <t>1 ug</t>
  </si>
  <si>
    <t>qPCR raw data - no calculation needed, auto-completed by Mic software</t>
  </si>
  <si>
    <t>Genie runs</t>
  </si>
  <si>
    <t xml:space="preserve">See above </t>
  </si>
  <si>
    <t>stdev</t>
  </si>
  <si>
    <t>SD 1/50 dilution</t>
  </si>
  <si>
    <t>Tp values</t>
  </si>
  <si>
    <t>0.5 ug</t>
  </si>
  <si>
    <t>0.25 ug</t>
  </si>
  <si>
    <t>0.125 ug</t>
  </si>
  <si>
    <t>mg faeces weighed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</si>
</sst>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7"/>
      <color rgb="FF000000"/>
      <name val="Calibri Light"/>
    </font>
    <font>
      <b/>
      <vertAlign val="subscript"/>
      <sz val="17"/>
      <color rgb="FF000000"/>
      <name val="Calibri Light"/>
    </font>
    <font>
      <sz val="17"/>
      <color rgb="FF000000"/>
      <name val="Calibri Light"/>
    </font>
    <font>
      <b/>
      <sz val="17"/>
      <color rgb="FF000000"/>
      <name val="Calibri Light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2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center" vertical="center" wrapText="1" readingOrder="1"/>
    </xf>
    <xf numFmtId="2" fontId="3" fillId="0" borderId="1" xfId="0" applyNumberFormat="1" applyFont="1" applyBorder="1" applyAlignment="1">
      <alignment horizontal="center" vertical="center" wrapText="1" readingOrder="1"/>
    </xf>
    <xf numFmtId="2" fontId="3" fillId="0" borderId="1" xfId="0" quotePrefix="1" applyNumberFormat="1" applyFont="1" applyBorder="1" applyAlignment="1">
      <alignment horizontal="center" vertical="center" wrapText="1" readingOrder="1"/>
    </xf>
    <xf numFmtId="2" fontId="4" fillId="0" borderId="1" xfId="0" applyNumberFormat="1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/>
    </xf>
    <xf numFmtId="2" fontId="0" fillId="0" borderId="0" xfId="0" applyNumberFormat="1"/>
    <xf numFmtId="0" fontId="0" fillId="0" borderId="0" xfId="0" quotePrefix="1"/>
    <xf numFmtId="11" fontId="0" fillId="0" borderId="0" xfId="0" applyNumberForma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5" fillId="0" borderId="0" xfId="0" quotePrefix="1" applyFont="1" applyAlignment="1">
      <alignment horizontal="center"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/>
    </xf>
  </cellXfs>
  <cellStyles count="1">
    <cellStyle name="Normal" xfId="0" builtinId="0"/>
  </cellStyles>
  <dxfs count="101"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1 µg</c:v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SpikedFaecesgDNA!$C$3:$C$10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7.0000000000000007E-2</c:v>
                  </c:pt>
                  <c:pt idx="3">
                    <c:v>0.34</c:v>
                  </c:pt>
                  <c:pt idx="4">
                    <c:v>0.18</c:v>
                  </c:pt>
                  <c:pt idx="5">
                    <c:v>0.39</c:v>
                  </c:pt>
                  <c:pt idx="6">
                    <c:v>0.06</c:v>
                  </c:pt>
                  <c:pt idx="7">
                    <c:v>0.1</c:v>
                  </c:pt>
                </c:numCache>
              </c:numRef>
            </c:plus>
            <c:minus>
              <c:numRef>
                <c:f>SpikedFaecesgDNA!$C$3:$C$10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7.0000000000000007E-2</c:v>
                  </c:pt>
                  <c:pt idx="3">
                    <c:v>0.34</c:v>
                  </c:pt>
                  <c:pt idx="4">
                    <c:v>0.18</c:v>
                  </c:pt>
                  <c:pt idx="5">
                    <c:v>0.39</c:v>
                  </c:pt>
                  <c:pt idx="6">
                    <c:v>0.06</c:v>
                  </c:pt>
                  <c:pt idx="7">
                    <c:v>0.1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SpikedFaecesgDNA!$A$3:$A$10</c:f>
              <c:strCache>
                <c:ptCount val="8"/>
                <c:pt idx="0">
                  <c:v>Neat</c:v>
                </c:pt>
                <c:pt idx="1">
                  <c:v>1/10</c:v>
                </c:pt>
                <c:pt idx="2">
                  <c:v>1/20</c:v>
                </c:pt>
                <c:pt idx="3">
                  <c:v>1/50</c:v>
                </c:pt>
                <c:pt idx="4">
                  <c:v>1/100</c:v>
                </c:pt>
                <c:pt idx="5">
                  <c:v>1/200</c:v>
                </c:pt>
                <c:pt idx="6">
                  <c:v>1/500</c:v>
                </c:pt>
                <c:pt idx="7">
                  <c:v>1/1000</c:v>
                </c:pt>
              </c:strCache>
            </c:strRef>
          </c:cat>
          <c:val>
            <c:numRef>
              <c:f>SpikedFaecesgDNA!$B$3:$B$10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14.25</c:v>
                </c:pt>
                <c:pt idx="3">
                  <c:v>10.83</c:v>
                </c:pt>
                <c:pt idx="4">
                  <c:v>10.27</c:v>
                </c:pt>
                <c:pt idx="5">
                  <c:v>10.78</c:v>
                </c:pt>
                <c:pt idx="6">
                  <c:v>11.15</c:v>
                </c:pt>
                <c:pt idx="7">
                  <c:v>12.22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B1-4BC2-8A34-19540967CF1C}"/>
            </c:ext>
          </c:extLst>
        </c:ser>
        <c:ser>
          <c:idx val="2"/>
          <c:order val="1"/>
          <c:tx>
            <c:v>0.5 µg</c:v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Pt>
            <c:idx val="6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83B-476C-A86F-274F874054FE}"/>
              </c:ext>
            </c:extLst>
          </c:dPt>
          <c:dPt>
            <c:idx val="7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83B-476C-A86F-274F874054FE}"/>
              </c:ext>
            </c:extLst>
          </c:dPt>
          <c:errBars>
            <c:errBarType val="both"/>
            <c:errValType val="cust"/>
            <c:noEndCap val="0"/>
            <c:plus>
              <c:numRef>
                <c:f>SpikedFaecesgDNA!$E$3:$E$10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0.33</c:v>
                  </c:pt>
                  <c:pt idx="2">
                    <c:v>0.14000000000000001</c:v>
                  </c:pt>
                  <c:pt idx="3">
                    <c:v>0.05</c:v>
                  </c:pt>
                  <c:pt idx="4">
                    <c:v>0.01</c:v>
                  </c:pt>
                  <c:pt idx="5">
                    <c:v>0.21</c:v>
                  </c:pt>
                  <c:pt idx="6">
                    <c:v>0.49</c:v>
                  </c:pt>
                  <c:pt idx="7">
                    <c:v>0</c:v>
                  </c:pt>
                </c:numCache>
              </c:numRef>
            </c:plus>
            <c:minus>
              <c:numRef>
                <c:f>SpikedFaecesgDNA!$E$3:$E$10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0.33</c:v>
                  </c:pt>
                  <c:pt idx="2">
                    <c:v>0.14000000000000001</c:v>
                  </c:pt>
                  <c:pt idx="3">
                    <c:v>0.05</c:v>
                  </c:pt>
                  <c:pt idx="4">
                    <c:v>0.01</c:v>
                  </c:pt>
                  <c:pt idx="5">
                    <c:v>0.21</c:v>
                  </c:pt>
                  <c:pt idx="6">
                    <c:v>0.49</c:v>
                  </c:pt>
                  <c:pt idx="7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SpikedFaecesgDNA!$A$3:$A$10</c:f>
              <c:strCache>
                <c:ptCount val="8"/>
                <c:pt idx="0">
                  <c:v>Neat</c:v>
                </c:pt>
                <c:pt idx="1">
                  <c:v>1/10</c:v>
                </c:pt>
                <c:pt idx="2">
                  <c:v>1/20</c:v>
                </c:pt>
                <c:pt idx="3">
                  <c:v>1/50</c:v>
                </c:pt>
                <c:pt idx="4">
                  <c:v>1/100</c:v>
                </c:pt>
                <c:pt idx="5">
                  <c:v>1/200</c:v>
                </c:pt>
                <c:pt idx="6">
                  <c:v>1/500</c:v>
                </c:pt>
                <c:pt idx="7">
                  <c:v>1/1000</c:v>
                </c:pt>
              </c:strCache>
            </c:strRef>
          </c:cat>
          <c:val>
            <c:numRef>
              <c:f>SpikedFaecesgDNA!$D$3:$D$10</c:f>
              <c:numCache>
                <c:formatCode>0.00</c:formatCode>
                <c:ptCount val="8"/>
                <c:pt idx="0">
                  <c:v>0</c:v>
                </c:pt>
                <c:pt idx="1">
                  <c:v>17.34</c:v>
                </c:pt>
                <c:pt idx="2">
                  <c:v>11.33</c:v>
                </c:pt>
                <c:pt idx="3">
                  <c:v>10.210000000000001</c:v>
                </c:pt>
                <c:pt idx="4">
                  <c:v>10.18</c:v>
                </c:pt>
                <c:pt idx="5">
                  <c:v>11.3</c:v>
                </c:pt>
                <c:pt idx="6">
                  <c:v>12.65</c:v>
                </c:pt>
                <c:pt idx="7">
                  <c:v>12.45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B1-4BC2-8A34-19540967CF1C}"/>
            </c:ext>
          </c:extLst>
        </c:ser>
        <c:ser>
          <c:idx val="1"/>
          <c:order val="2"/>
          <c:tx>
            <c:v>0.25 µg</c:v>
          </c:tx>
          <c:spPr>
            <a:pattFill prst="pct6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SpikedFaecesgDNA!$G$3:$G$10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0.71</c:v>
                  </c:pt>
                  <c:pt idx="3">
                    <c:v>0.81</c:v>
                  </c:pt>
                  <c:pt idx="4">
                    <c:v>0</c:v>
                  </c:pt>
                  <c:pt idx="5">
                    <c:v>0.81</c:v>
                  </c:pt>
                  <c:pt idx="6">
                    <c:v>2.83</c:v>
                  </c:pt>
                  <c:pt idx="7">
                    <c:v>3.55</c:v>
                  </c:pt>
                </c:numCache>
              </c:numRef>
            </c:plus>
            <c:minus>
              <c:numRef>
                <c:f>SpikedFaecesgDNA!$G$3:$G$10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0.71</c:v>
                  </c:pt>
                  <c:pt idx="3">
                    <c:v>0.81</c:v>
                  </c:pt>
                  <c:pt idx="4">
                    <c:v>0</c:v>
                  </c:pt>
                  <c:pt idx="5">
                    <c:v>0.81</c:v>
                  </c:pt>
                  <c:pt idx="6">
                    <c:v>2.83</c:v>
                  </c:pt>
                  <c:pt idx="7">
                    <c:v>3.55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SpikedFaecesgDNA!$A$3:$A$10</c:f>
              <c:strCache>
                <c:ptCount val="8"/>
                <c:pt idx="0">
                  <c:v>Neat</c:v>
                </c:pt>
                <c:pt idx="1">
                  <c:v>1/10</c:v>
                </c:pt>
                <c:pt idx="2">
                  <c:v>1/20</c:v>
                </c:pt>
                <c:pt idx="3">
                  <c:v>1/50</c:v>
                </c:pt>
                <c:pt idx="4">
                  <c:v>1/100</c:v>
                </c:pt>
                <c:pt idx="5">
                  <c:v>1/200</c:v>
                </c:pt>
                <c:pt idx="6">
                  <c:v>1/500</c:v>
                </c:pt>
                <c:pt idx="7">
                  <c:v>1/1000</c:v>
                </c:pt>
              </c:strCache>
            </c:strRef>
          </c:cat>
          <c:val>
            <c:numRef>
              <c:f>SpikedFaecesgDNA!$F$3:$F$10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16.5</c:v>
                </c:pt>
                <c:pt idx="3">
                  <c:v>13.57</c:v>
                </c:pt>
                <c:pt idx="4">
                  <c:v>13.45</c:v>
                </c:pt>
                <c:pt idx="5">
                  <c:v>13.57</c:v>
                </c:pt>
                <c:pt idx="6">
                  <c:v>19</c:v>
                </c:pt>
                <c:pt idx="7">
                  <c:v>15.95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B1-4BC2-8A34-19540967CF1C}"/>
            </c:ext>
          </c:extLst>
        </c:ser>
        <c:ser>
          <c:idx val="3"/>
          <c:order val="3"/>
          <c:tx>
            <c:v>0.125 µg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SpikedFaecesgDNA!$I$3:$I$10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0.6</c:v>
                  </c:pt>
                  <c:pt idx="3">
                    <c:v>0.09</c:v>
                  </c:pt>
                  <c:pt idx="4">
                    <c:v>1.52</c:v>
                  </c:pt>
                  <c:pt idx="5">
                    <c:v>1.52</c:v>
                  </c:pt>
                  <c:pt idx="6">
                    <c:v>2.62</c:v>
                  </c:pt>
                  <c:pt idx="7">
                    <c:v>0.49</c:v>
                  </c:pt>
                </c:numCache>
              </c:numRef>
            </c:plus>
            <c:minus>
              <c:numRef>
                <c:f>SpikedFaecesgDNA!$I$3:$I$10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0.6</c:v>
                  </c:pt>
                  <c:pt idx="3">
                    <c:v>0.09</c:v>
                  </c:pt>
                  <c:pt idx="4">
                    <c:v>1.52</c:v>
                  </c:pt>
                  <c:pt idx="5">
                    <c:v>1.52</c:v>
                  </c:pt>
                  <c:pt idx="6">
                    <c:v>2.62</c:v>
                  </c:pt>
                  <c:pt idx="7">
                    <c:v>0.49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SpikedFaecesgDNA!$A$3:$A$10</c:f>
              <c:strCache>
                <c:ptCount val="8"/>
                <c:pt idx="0">
                  <c:v>Neat</c:v>
                </c:pt>
                <c:pt idx="1">
                  <c:v>1/10</c:v>
                </c:pt>
                <c:pt idx="2">
                  <c:v>1/20</c:v>
                </c:pt>
                <c:pt idx="3">
                  <c:v>1/50</c:v>
                </c:pt>
                <c:pt idx="4">
                  <c:v>1/100</c:v>
                </c:pt>
                <c:pt idx="5">
                  <c:v>1/200</c:v>
                </c:pt>
                <c:pt idx="6">
                  <c:v>1/500</c:v>
                </c:pt>
                <c:pt idx="7">
                  <c:v>1/1000</c:v>
                </c:pt>
              </c:strCache>
            </c:strRef>
          </c:cat>
          <c:val>
            <c:numRef>
              <c:f>SpikedFaecesgDNA!$H$3:$H$10</c:f>
              <c:numCache>
                <c:formatCode>0.00</c:formatCode>
                <c:ptCount val="8"/>
                <c:pt idx="0">
                  <c:v>0</c:v>
                </c:pt>
                <c:pt idx="1">
                  <c:v>17</c:v>
                </c:pt>
                <c:pt idx="2">
                  <c:v>15.75</c:v>
                </c:pt>
                <c:pt idx="3">
                  <c:v>11.46</c:v>
                </c:pt>
                <c:pt idx="4">
                  <c:v>14.07</c:v>
                </c:pt>
                <c:pt idx="5">
                  <c:v>14.07</c:v>
                </c:pt>
                <c:pt idx="6">
                  <c:v>16.3</c:v>
                </c:pt>
                <c:pt idx="7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B1-4BC2-8A34-19540967C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023647"/>
        <c:axId val="1032026143"/>
      </c:barChart>
      <c:catAx>
        <c:axId val="103202364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Starting</a:t>
                </a:r>
                <a:r>
                  <a:rPr lang="en-AU" baseline="0"/>
                  <a:t> DNA quantity and dilution factor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2026143"/>
        <c:crossesAt val="0"/>
        <c:auto val="1"/>
        <c:lblAlgn val="ctr"/>
        <c:lblOffset val="100"/>
        <c:noMultiLvlLbl val="0"/>
      </c:catAx>
      <c:valAx>
        <c:axId val="10320261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Average Tp</a:t>
                </a:r>
                <a:r>
                  <a:rPr lang="en-AU" baseline="0"/>
                  <a:t> (mm:ss)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202364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1 µg</c:v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0.39</c:v>
                </c:pt>
              </c:numLit>
            </c:plus>
            <c:minus>
              <c:numLit>
                <c:formatCode>General</c:formatCode>
                <c:ptCount val="1"/>
                <c:pt idx="0">
                  <c:v>0.39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SpikedFaecesgDNA!$A$8</c:f>
              <c:strCache>
                <c:ptCount val="1"/>
                <c:pt idx="0">
                  <c:v>1/200</c:v>
                </c:pt>
              </c:strCache>
              <c:extLst/>
            </c:strRef>
          </c:cat>
          <c:val>
            <c:numRef>
              <c:f>SpikedFaecesgDNA!$B$8</c:f>
              <c:numCache>
                <c:formatCode>0.00</c:formatCode>
                <c:ptCount val="1"/>
                <c:pt idx="0">
                  <c:v>10.78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00EC-483B-8E3D-6F08246F7796}"/>
            </c:ext>
          </c:extLst>
        </c:ser>
        <c:ser>
          <c:idx val="2"/>
          <c:order val="1"/>
          <c:tx>
            <c:v>0.5 µg</c:v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0.21</c:v>
                </c:pt>
              </c:numLit>
            </c:plus>
            <c:minus>
              <c:numLit>
                <c:formatCode>General</c:formatCode>
                <c:ptCount val="1"/>
                <c:pt idx="0">
                  <c:v>0.21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SpikedFaecesgDNA!$A$8</c:f>
              <c:strCache>
                <c:ptCount val="1"/>
                <c:pt idx="0">
                  <c:v>1/200</c:v>
                </c:pt>
              </c:strCache>
              <c:extLst/>
            </c:strRef>
          </c:cat>
          <c:val>
            <c:numRef>
              <c:f>SpikedFaecesgDNA!$D$8</c:f>
              <c:numCache>
                <c:formatCode>0.00</c:formatCode>
                <c:ptCount val="1"/>
                <c:pt idx="0">
                  <c:v>11.3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00EC-483B-8E3D-6F08246F7796}"/>
            </c:ext>
          </c:extLst>
        </c:ser>
        <c:ser>
          <c:idx val="1"/>
          <c:order val="2"/>
          <c:tx>
            <c:v>0.25 µg</c:v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0.81</c:v>
                </c:pt>
              </c:numLit>
            </c:plus>
            <c:minus>
              <c:numLit>
                <c:formatCode>General</c:formatCode>
                <c:ptCount val="1"/>
                <c:pt idx="0">
                  <c:v>0.81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SpikedFaecesgDNA!$A$8</c:f>
              <c:strCache>
                <c:ptCount val="1"/>
                <c:pt idx="0">
                  <c:v>1/200</c:v>
                </c:pt>
              </c:strCache>
              <c:extLst/>
            </c:strRef>
          </c:cat>
          <c:val>
            <c:numRef>
              <c:f>SpikedFaecesgDNA!$F$8</c:f>
              <c:numCache>
                <c:formatCode>0.00</c:formatCode>
                <c:ptCount val="1"/>
                <c:pt idx="0">
                  <c:v>13.57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2-00EC-483B-8E3D-6F08246F7796}"/>
            </c:ext>
          </c:extLst>
        </c:ser>
        <c:ser>
          <c:idx val="3"/>
          <c:order val="3"/>
          <c:tx>
            <c:v>0.125 µg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1.52</c:v>
                </c:pt>
              </c:numLit>
            </c:plus>
            <c:minus>
              <c:numLit>
                <c:formatCode>General</c:formatCode>
                <c:ptCount val="1"/>
                <c:pt idx="0">
                  <c:v>1.52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SpikedFaecesgDNA!$A$8</c:f>
              <c:strCache>
                <c:ptCount val="1"/>
                <c:pt idx="0">
                  <c:v>1/200</c:v>
                </c:pt>
              </c:strCache>
              <c:extLst/>
            </c:strRef>
          </c:cat>
          <c:val>
            <c:numRef>
              <c:f>SpikedFaecesgDNA!$H$8</c:f>
              <c:numCache>
                <c:formatCode>0.00</c:formatCode>
                <c:ptCount val="1"/>
                <c:pt idx="0">
                  <c:v>14.07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3-00EC-483B-8E3D-6F08246F7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023647"/>
        <c:axId val="1032026143"/>
      </c:barChart>
      <c:catAx>
        <c:axId val="103202364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Starting</a:t>
                </a:r>
                <a:r>
                  <a:rPr lang="en-AU" baseline="0"/>
                  <a:t> DNA quantity and dilution factor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2026143"/>
        <c:crossesAt val="0"/>
        <c:auto val="1"/>
        <c:lblAlgn val="ctr"/>
        <c:lblOffset val="100"/>
        <c:noMultiLvlLbl val="0"/>
      </c:catAx>
      <c:valAx>
        <c:axId val="1032026143"/>
        <c:scaling>
          <c:orientation val="minMax"/>
          <c:max val="18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Average Tp</a:t>
                </a:r>
                <a:r>
                  <a:rPr lang="en-AU" baseline="0"/>
                  <a:t> (mm:ss)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202364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</c:v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SpikedFaecesEggs!$B$30:$G$30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plus>
            <c:minus>
              <c:numRef>
                <c:f>SpikedFaecesEggs!$B$30:$G$30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SpikedFaecesEggs!$B$20:$G$20</c:f>
              <c:strCache>
                <c:ptCount val="6"/>
                <c:pt idx="0">
                  <c:v>Chelex</c:v>
                </c:pt>
                <c:pt idx="1">
                  <c:v>GP</c:v>
                </c:pt>
                <c:pt idx="2">
                  <c:v>TL</c:v>
                </c:pt>
                <c:pt idx="3">
                  <c:v>SET</c:v>
                </c:pt>
                <c:pt idx="4">
                  <c:v>EB</c:v>
                </c:pt>
                <c:pt idx="5">
                  <c:v>AL</c:v>
                </c:pt>
              </c:strCache>
            </c:strRef>
          </c:cat>
          <c:val>
            <c:numRef>
              <c:f>SpikedFaecesEggs!$B$22:$G$22</c:f>
              <c:numCache>
                <c:formatCode>General</c:formatCode>
                <c:ptCount val="6"/>
                <c:pt idx="0">
                  <c:v>0</c:v>
                </c:pt>
                <c:pt idx="1">
                  <c:v>17.3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0E-4583-8F64-43544D5C141A}"/>
            </c:ext>
          </c:extLst>
        </c:ser>
        <c:ser>
          <c:idx val="1"/>
          <c:order val="1"/>
          <c:tx>
            <c:v>5</c:v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SpikedFaecesEggs!$B$20:$G$20</c:f>
              <c:strCache>
                <c:ptCount val="6"/>
                <c:pt idx="0">
                  <c:v>Chelex</c:v>
                </c:pt>
                <c:pt idx="1">
                  <c:v>GP</c:v>
                </c:pt>
                <c:pt idx="2">
                  <c:v>TL</c:v>
                </c:pt>
                <c:pt idx="3">
                  <c:v>SET</c:v>
                </c:pt>
                <c:pt idx="4">
                  <c:v>EB</c:v>
                </c:pt>
                <c:pt idx="5">
                  <c:v>AL</c:v>
                </c:pt>
              </c:strCache>
            </c:strRef>
          </c:cat>
          <c:val>
            <c:numRef>
              <c:f>SpikedFaecesEggs!$B$23:$G$23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0E-4583-8F64-43544D5C141A}"/>
            </c:ext>
          </c:extLst>
        </c:ser>
        <c:ser>
          <c:idx val="2"/>
          <c:order val="2"/>
          <c:tx>
            <c:v>10</c:v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SpikedFaecesEggs!$B$32:$G$32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1.3081475451951114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plus>
            <c:minus>
              <c:numRef>
                <c:f>SpikedFaecesEggs!$B$32:$G$32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1.3081475451951114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SpikedFaecesEggs!$B$20:$G$20</c:f>
              <c:strCache>
                <c:ptCount val="6"/>
                <c:pt idx="0">
                  <c:v>Chelex</c:v>
                </c:pt>
                <c:pt idx="1">
                  <c:v>GP</c:v>
                </c:pt>
                <c:pt idx="2">
                  <c:v>TL</c:v>
                </c:pt>
                <c:pt idx="3">
                  <c:v>SET</c:v>
                </c:pt>
                <c:pt idx="4">
                  <c:v>EB</c:v>
                </c:pt>
                <c:pt idx="5">
                  <c:v>AL</c:v>
                </c:pt>
              </c:strCache>
            </c:strRef>
          </c:cat>
          <c:val>
            <c:numRef>
              <c:f>SpikedFaecesEggs!$B$24:$G$24</c:f>
              <c:numCache>
                <c:formatCode>0.00</c:formatCode>
                <c:ptCount val="6"/>
                <c:pt idx="0" formatCode="General">
                  <c:v>0</c:v>
                </c:pt>
                <c:pt idx="1">
                  <c:v>15.225</c:v>
                </c:pt>
                <c:pt idx="2" formatCode="General">
                  <c:v>0</c:v>
                </c:pt>
                <c:pt idx="3">
                  <c:v>15</c:v>
                </c:pt>
                <c:pt idx="4" formatCode="General">
                  <c:v>0</c:v>
                </c:pt>
                <c:pt idx="5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0E-4583-8F64-43544D5C141A}"/>
            </c:ext>
          </c:extLst>
        </c:ser>
        <c:ser>
          <c:idx val="3"/>
          <c:order val="3"/>
          <c:tx>
            <c:v>20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SpikedFaecesEggs!$B$33:$G$33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1.0960155108391492</c:v>
                  </c:pt>
                  <c:pt idx="3">
                    <c:v>0.6010407640085651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plus>
            <c:minus>
              <c:numRef>
                <c:f>SpikedFaecesEggs!$B$33:$G$33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1.0960155108391492</c:v>
                  </c:pt>
                  <c:pt idx="3">
                    <c:v>0.6010407640085651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SpikedFaecesEggs!$B$20:$G$20</c:f>
              <c:strCache>
                <c:ptCount val="6"/>
                <c:pt idx="0">
                  <c:v>Chelex</c:v>
                </c:pt>
                <c:pt idx="1">
                  <c:v>GP</c:v>
                </c:pt>
                <c:pt idx="2">
                  <c:v>TL</c:v>
                </c:pt>
                <c:pt idx="3">
                  <c:v>SET</c:v>
                </c:pt>
                <c:pt idx="4">
                  <c:v>EB</c:v>
                </c:pt>
                <c:pt idx="5">
                  <c:v>AL</c:v>
                </c:pt>
              </c:strCache>
            </c:strRef>
          </c:cat>
          <c:val>
            <c:numRef>
              <c:f>SpikedFaecesEggs!$B$25:$G$25</c:f>
              <c:numCache>
                <c:formatCode>0.00</c:formatCode>
                <c:ptCount val="6"/>
                <c:pt idx="0">
                  <c:v>17.3</c:v>
                </c:pt>
                <c:pt idx="1">
                  <c:v>18.3</c:v>
                </c:pt>
                <c:pt idx="2">
                  <c:v>12.225</c:v>
                </c:pt>
                <c:pt idx="3">
                  <c:v>15.574999999999999</c:v>
                </c:pt>
                <c:pt idx="4" formatCode="General">
                  <c:v>0</c:v>
                </c:pt>
                <c:pt idx="5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0E-4583-8F64-43544D5C141A}"/>
            </c:ext>
          </c:extLst>
        </c:ser>
        <c:ser>
          <c:idx val="4"/>
          <c:order val="4"/>
          <c:tx>
            <c:v>50</c:v>
          </c:tx>
          <c:spPr>
            <a:pattFill prst="pct6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SpikedFaecesEggs!$B$34:$G$34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0.8131727983645286</c:v>
                  </c:pt>
                  <c:pt idx="3">
                    <c:v>0.6010407640085651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plus>
            <c:minus>
              <c:numRef>
                <c:f>SpikedFaecesEggs!$B$34:$G$34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0.8131727983645286</c:v>
                  </c:pt>
                  <c:pt idx="3">
                    <c:v>0.6010407640085651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SpikedFaecesEggs!$B$20:$G$20</c:f>
              <c:strCache>
                <c:ptCount val="6"/>
                <c:pt idx="0">
                  <c:v>Chelex</c:v>
                </c:pt>
                <c:pt idx="1">
                  <c:v>GP</c:v>
                </c:pt>
                <c:pt idx="2">
                  <c:v>TL</c:v>
                </c:pt>
                <c:pt idx="3">
                  <c:v>SET</c:v>
                </c:pt>
                <c:pt idx="4">
                  <c:v>EB</c:v>
                </c:pt>
                <c:pt idx="5">
                  <c:v>AL</c:v>
                </c:pt>
              </c:strCache>
            </c:strRef>
          </c:cat>
          <c:val>
            <c:numRef>
              <c:f>SpikedFaecesEggs!$B$26:$G$26</c:f>
              <c:numCache>
                <c:formatCode>0.00</c:formatCode>
                <c:ptCount val="6"/>
                <c:pt idx="0" formatCode="General">
                  <c:v>0</c:v>
                </c:pt>
                <c:pt idx="1">
                  <c:v>15</c:v>
                </c:pt>
                <c:pt idx="2">
                  <c:v>14.875</c:v>
                </c:pt>
                <c:pt idx="3">
                  <c:v>13.725000000000001</c:v>
                </c:pt>
                <c:pt idx="4" formatCode="General">
                  <c:v>0</c:v>
                </c:pt>
                <c:pt idx="5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0E-4583-8F64-43544D5C1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0440624"/>
        <c:axId val="1410443952"/>
      </c:barChart>
      <c:catAx>
        <c:axId val="1410440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i="1">
                    <a:solidFill>
                      <a:schemeClr val="tx1"/>
                    </a:solidFill>
                  </a:rPr>
                  <a:t>F.</a:t>
                </a:r>
                <a:r>
                  <a:rPr lang="en-AU" i="1" baseline="0">
                    <a:solidFill>
                      <a:schemeClr val="tx1"/>
                    </a:solidFill>
                  </a:rPr>
                  <a:t> hepatica </a:t>
                </a:r>
                <a:r>
                  <a:rPr lang="en-AU" i="0" baseline="0">
                    <a:solidFill>
                      <a:schemeClr val="tx1"/>
                    </a:solidFill>
                  </a:rPr>
                  <a:t>spiked egg quantity and lysis buffer used</a:t>
                </a:r>
                <a:endParaRPr lang="en-AU" i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0443952"/>
        <c:crossesAt val="0"/>
        <c:auto val="1"/>
        <c:lblAlgn val="ctr"/>
        <c:lblOffset val="100"/>
        <c:noMultiLvlLbl val="0"/>
      </c:catAx>
      <c:valAx>
        <c:axId val="14104439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900">
                    <a:solidFill>
                      <a:schemeClr val="tx1"/>
                    </a:solidFill>
                  </a:rPr>
                  <a:t>Average Tp (mm:ss)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04406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v>20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SpikedFaecesEggs!$B$33:$G$33</c15:sqref>
                    </c15:fullRef>
                  </c:ext>
                </c:extLst>
                <c:f>SpikedFaecesEggs!$D$33:$E$33</c:f>
                <c:numCache>
                  <c:formatCode>General</c:formatCode>
                  <c:ptCount val="2"/>
                  <c:pt idx="0">
                    <c:v>1.0960155108391492</c:v>
                  </c:pt>
                  <c:pt idx="1">
                    <c:v>0.6010407640085651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SpikedFaecesEggs!$B$33:$G$33</c15:sqref>
                    </c15:fullRef>
                  </c:ext>
                </c:extLst>
                <c:f>SpikedFaecesEggs!$D$33:$E$33</c:f>
                <c:numCache>
                  <c:formatCode>General</c:formatCode>
                  <c:ptCount val="2"/>
                  <c:pt idx="0">
                    <c:v>1.0960155108391492</c:v>
                  </c:pt>
                  <c:pt idx="1">
                    <c:v>0.6010407640085651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SpikedFaecesEggs!$B$20:$G$20</c15:sqref>
                  </c15:fullRef>
                </c:ext>
              </c:extLst>
              <c:f>SpikedFaecesEggs!$D$20:$E$20</c:f>
              <c:strCache>
                <c:ptCount val="2"/>
                <c:pt idx="0">
                  <c:v>TL</c:v>
                </c:pt>
                <c:pt idx="1">
                  <c:v>SET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SpikedFaecesEggs!$B$25:$G$25</c15:sqref>
                  </c15:fullRef>
                </c:ext>
              </c:extLst>
              <c:f>SpikedFaecesEggs!$D$25:$E$25</c:f>
              <c:numCache>
                <c:formatCode>0.00</c:formatCode>
                <c:ptCount val="2"/>
                <c:pt idx="0">
                  <c:v>12.225</c:v>
                </c:pt>
                <c:pt idx="1">
                  <c:v>15.574999999999999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6-45E5-AD5E-F8597DEB8E1B}"/>
            </c:ext>
          </c:extLst>
        </c:ser>
        <c:ser>
          <c:idx val="4"/>
          <c:order val="4"/>
          <c:tx>
            <c:v>50</c:v>
          </c:tx>
          <c:spPr>
            <a:pattFill prst="pct6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SpikedFaecesEggs!$B$34:$G$34</c15:sqref>
                    </c15:fullRef>
                  </c:ext>
                </c:extLst>
                <c:f>SpikedFaecesEggs!$D$34:$E$34</c:f>
                <c:numCache>
                  <c:formatCode>General</c:formatCode>
                  <c:ptCount val="2"/>
                  <c:pt idx="0">
                    <c:v>0.8131727983645286</c:v>
                  </c:pt>
                  <c:pt idx="1">
                    <c:v>0.6010407640085651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SpikedFaecesEggs!$B$34:$G$34</c15:sqref>
                    </c15:fullRef>
                  </c:ext>
                </c:extLst>
                <c:f>SpikedFaecesEggs!$D$34:$E$34</c:f>
                <c:numCache>
                  <c:formatCode>General</c:formatCode>
                  <c:ptCount val="2"/>
                  <c:pt idx="0">
                    <c:v>0.8131727983645286</c:v>
                  </c:pt>
                  <c:pt idx="1">
                    <c:v>0.6010407640085651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SpikedFaecesEggs!$B$20:$G$20</c15:sqref>
                  </c15:fullRef>
                </c:ext>
              </c:extLst>
              <c:f>SpikedFaecesEggs!$D$20:$E$20</c:f>
              <c:strCache>
                <c:ptCount val="2"/>
                <c:pt idx="0">
                  <c:v>TL</c:v>
                </c:pt>
                <c:pt idx="1">
                  <c:v>SET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SpikedFaecesEggs!$B$26:$G$26</c15:sqref>
                  </c15:fullRef>
                </c:ext>
              </c:extLst>
              <c:f>SpikedFaecesEggs!$D$26:$E$26</c:f>
              <c:numCache>
                <c:formatCode>0.00</c:formatCode>
                <c:ptCount val="2"/>
                <c:pt idx="0">
                  <c:v>14.875</c:v>
                </c:pt>
                <c:pt idx="1">
                  <c:v>13.725000000000001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66-45E5-AD5E-F8597DEB8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0440624"/>
        <c:axId val="14104439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1</c:v>
                </c:tx>
                <c:spPr>
                  <a:pattFill prst="pct25">
                    <a:fgClr>
                      <a:schemeClr val="tx1"/>
                    </a:fgClr>
                    <a:bgClr>
                      <a:schemeClr val="bg1"/>
                    </a:bgClr>
                  </a:pattFill>
                  <a:ln>
                    <a:solidFill>
                      <a:schemeClr val="tx1"/>
                    </a:solidFill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ullRef>
                            <c15:sqref>SpikedFaecesEggs!$B$30:$G$30</c15:sqref>
                          </c15:fullRef>
                          <c15:formulaRef>
                            <c15:sqref>SpikedFaecesEggs!$D$30:$E$30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</c:v>
                        </c:pt>
                        <c:pt idx="1">
                          <c:v>0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ullRef>
                            <c15:sqref>SpikedFaecesEggs!$B$30:$G$30</c15:sqref>
                          </c15:fullRef>
                          <c15:formulaRef>
                            <c15:sqref>SpikedFaecesEggs!$D$30:$E$30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</c:v>
                        </c:pt>
                        <c:pt idx="1">
                          <c:v>0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ullRef>
                          <c15:sqref>SpikedFaecesEggs!$B$20:$G$20</c15:sqref>
                        </c15:fullRef>
                        <c15:formulaRef>
                          <c15:sqref>SpikedFaecesEggs!$D$20:$E$20</c15:sqref>
                        </c15:formulaRef>
                      </c:ext>
                    </c:extLst>
                    <c:strCache>
                      <c:ptCount val="2"/>
                      <c:pt idx="0">
                        <c:v>TL</c:v>
                      </c:pt>
                      <c:pt idx="1">
                        <c:v>SET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SpikedFaecesEggs!$B$22:$G$22</c15:sqref>
                        </c15:fullRef>
                        <c15:formulaRef>
                          <c15:sqref>SpikedFaecesEggs!$D$22:$E$22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9D66-45E5-AD5E-F8597DEB8E1B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>5</c:v>
                </c:tx>
                <c:spPr>
                  <a:pattFill prst="pct50">
                    <a:fgClr>
                      <a:schemeClr val="tx1"/>
                    </a:fgClr>
                    <a:bgClr>
                      <a:schemeClr val="bg1"/>
                    </a:bgClr>
                  </a:pattFill>
                  <a:ln>
                    <a:solidFill>
                      <a:schemeClr val="tx1"/>
                    </a:solidFill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SpikedFaecesEggs!$B$20:$G$20</c15:sqref>
                        </c15:fullRef>
                        <c15:formulaRef>
                          <c15:sqref>SpikedFaecesEggs!$D$20:$E$20</c15:sqref>
                        </c15:formulaRef>
                      </c:ext>
                    </c:extLst>
                    <c:strCache>
                      <c:ptCount val="2"/>
                      <c:pt idx="0">
                        <c:v>TL</c:v>
                      </c:pt>
                      <c:pt idx="1">
                        <c:v>SET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SpikedFaecesEggs!$B$23:$G$23</c15:sqref>
                        </c15:fullRef>
                        <c15:formulaRef>
                          <c15:sqref>SpikedFaecesEggs!$D$23:$E$23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D66-45E5-AD5E-F8597DEB8E1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v>10</c:v>
                </c:tx>
                <c:spPr>
                  <a:pattFill prst="pct30">
                    <a:fgClr>
                      <a:schemeClr val="tx1"/>
                    </a:fgClr>
                    <a:bgClr>
                      <a:schemeClr val="bg1"/>
                    </a:bgClr>
                  </a:pattFill>
                  <a:ln>
                    <a:solidFill>
                      <a:schemeClr val="tx1"/>
                    </a:solidFill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xmlns:c15="http://schemas.microsoft.com/office/drawing/2012/chart" uri="{02D57815-91ED-43cb-92C2-25804820EDAC}">
                          <c15:fullRef>
                            <c15:sqref>SpikedFaecesEggs!$B$32:$G$32</c15:sqref>
                          </c15:fullRef>
                          <c15:formulaRef>
                            <c15:sqref>SpikedFaecesEggs!$D$32:$E$32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</c:v>
                        </c:pt>
                        <c:pt idx="1">
                          <c:v>0</c:v>
                        </c:pt>
                      </c:numCache>
                    </c:numRef>
                  </c:plus>
                  <c:minus>
                    <c:numRef>
                      <c:extLst>
                        <c:ext xmlns:c15="http://schemas.microsoft.com/office/drawing/2012/chart" uri="{02D57815-91ED-43cb-92C2-25804820EDAC}">
                          <c15:fullRef>
                            <c15:sqref>SpikedFaecesEggs!$B$32:$G$32</c15:sqref>
                          </c15:fullRef>
                          <c15:formulaRef>
                            <c15:sqref>SpikedFaecesEggs!$D$32:$E$32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</c:v>
                        </c:pt>
                        <c:pt idx="1">
                          <c:v>0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SpikedFaecesEggs!$B$20:$G$20</c15:sqref>
                        </c15:fullRef>
                        <c15:formulaRef>
                          <c15:sqref>SpikedFaecesEggs!$D$20:$E$20</c15:sqref>
                        </c15:formulaRef>
                      </c:ext>
                    </c:extLst>
                    <c:strCache>
                      <c:ptCount val="2"/>
                      <c:pt idx="0">
                        <c:v>TL</c:v>
                      </c:pt>
                      <c:pt idx="1">
                        <c:v>SET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SpikedFaecesEggs!$B$24:$G$24</c15:sqref>
                        </c15:fullRef>
                        <c15:formulaRef>
                          <c15:sqref>SpikedFaecesEggs!$D$24:$E$24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 formatCode="General">
                        <c:v>0</c:v>
                      </c:pt>
                      <c:pt idx="1">
                        <c:v>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D66-45E5-AD5E-F8597DEB8E1B}"/>
                  </c:ext>
                </c:extLst>
              </c15:ser>
            </c15:filteredBarSeries>
          </c:ext>
        </c:extLst>
      </c:barChart>
      <c:catAx>
        <c:axId val="1410440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i="1">
                    <a:solidFill>
                      <a:schemeClr val="tx1"/>
                    </a:solidFill>
                  </a:rPr>
                  <a:t>F. hepatica </a:t>
                </a:r>
                <a:r>
                  <a:rPr lang="en-AU" i="0">
                    <a:solidFill>
                      <a:schemeClr val="tx1"/>
                    </a:solidFill>
                  </a:rPr>
                  <a:t>spiked egg quantity and</a:t>
                </a:r>
                <a:r>
                  <a:rPr lang="en-AU" i="0" baseline="0">
                    <a:solidFill>
                      <a:schemeClr val="tx1"/>
                    </a:solidFill>
                  </a:rPr>
                  <a:t> lysis buffer used</a:t>
                </a:r>
                <a:endParaRPr lang="en-AU" i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0443952"/>
        <c:crosses val="autoZero"/>
        <c:auto val="1"/>
        <c:lblAlgn val="ctr"/>
        <c:lblOffset val="100"/>
        <c:noMultiLvlLbl val="0"/>
      </c:catAx>
      <c:valAx>
        <c:axId val="1410443952"/>
        <c:scaling>
          <c:orientation val="minMax"/>
          <c:max val="2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900" b="0" i="0" baseline="0">
                    <a:solidFill>
                      <a:schemeClr val="tx1"/>
                    </a:solidFill>
                    <a:effectLst/>
                  </a:rPr>
                  <a:t>Average Tp (mm:ss)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04406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50 mL </c:v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SpikedWater!$F$29:$F$32</c:f>
                <c:numCache>
                  <c:formatCode>General</c:formatCode>
                  <c:ptCount val="4"/>
                  <c:pt idx="0">
                    <c:v>2.1065374432940986</c:v>
                  </c:pt>
                  <c:pt idx="1">
                    <c:v>1.7972200755611374</c:v>
                  </c:pt>
                  <c:pt idx="2">
                    <c:v>1.7514279888136981</c:v>
                  </c:pt>
                  <c:pt idx="3">
                    <c:v>4.208028041731664</c:v>
                  </c:pt>
                </c:numCache>
              </c:numRef>
            </c:plus>
            <c:minus>
              <c:numRef>
                <c:f>SpikedWater!$F$29:$F$32</c:f>
                <c:numCache>
                  <c:formatCode>General</c:formatCode>
                  <c:ptCount val="4"/>
                  <c:pt idx="0">
                    <c:v>2.1065374432940986</c:v>
                  </c:pt>
                  <c:pt idx="1">
                    <c:v>1.7972200755611374</c:v>
                  </c:pt>
                  <c:pt idx="2">
                    <c:v>1.7514279888136981</c:v>
                  </c:pt>
                  <c:pt idx="3">
                    <c:v>4.208028041731664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SpikedWater!$D$29:$D$32</c:f>
              <c:strCache>
                <c:ptCount val="4"/>
                <c:pt idx="0">
                  <c:v>1 µg</c:v>
                </c:pt>
                <c:pt idx="1">
                  <c:v>0.5 µg</c:v>
                </c:pt>
                <c:pt idx="2">
                  <c:v>0.25 µg</c:v>
                </c:pt>
                <c:pt idx="3">
                  <c:v>0.125 µg</c:v>
                </c:pt>
              </c:strCache>
            </c:strRef>
          </c:cat>
          <c:val>
            <c:numRef>
              <c:f>SpikedWater!$E$29:$E$32</c:f>
              <c:numCache>
                <c:formatCode>0.00</c:formatCode>
                <c:ptCount val="4"/>
                <c:pt idx="0">
                  <c:v>12.975</c:v>
                </c:pt>
                <c:pt idx="1">
                  <c:v>13.8</c:v>
                </c:pt>
                <c:pt idx="2">
                  <c:v>13.725</c:v>
                </c:pt>
                <c:pt idx="3">
                  <c:v>14.225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C3-4EA8-8B54-2FF0AB9A4AFC}"/>
            </c:ext>
          </c:extLst>
        </c:ser>
        <c:ser>
          <c:idx val="1"/>
          <c:order val="1"/>
          <c:tx>
            <c:v>250 mL</c:v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SpikedWater!$O$12:$O$15</c:f>
                <c:numCache>
                  <c:formatCode>General</c:formatCode>
                  <c:ptCount val="4"/>
                  <c:pt idx="0">
                    <c:v>3.0405591591021457</c:v>
                  </c:pt>
                  <c:pt idx="1">
                    <c:v>5.0558134854838235</c:v>
                  </c:pt>
                  <c:pt idx="2">
                    <c:v>1.4142135623730951</c:v>
                  </c:pt>
                  <c:pt idx="3">
                    <c:v>0</c:v>
                  </c:pt>
                </c:numCache>
              </c:numRef>
            </c:plus>
            <c:minus>
              <c:numRef>
                <c:f>SpikedWater!$O$12:$O$15</c:f>
                <c:numCache>
                  <c:formatCode>General</c:formatCode>
                  <c:ptCount val="4"/>
                  <c:pt idx="0">
                    <c:v>3.0405591591021457</c:v>
                  </c:pt>
                  <c:pt idx="1">
                    <c:v>5.0558134854838235</c:v>
                  </c:pt>
                  <c:pt idx="2">
                    <c:v>1.4142135623730951</c:v>
                  </c:pt>
                  <c:pt idx="3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SpikedWater!$D$29:$D$32</c:f>
              <c:strCache>
                <c:ptCount val="4"/>
                <c:pt idx="0">
                  <c:v>1 µg</c:v>
                </c:pt>
                <c:pt idx="1">
                  <c:v>0.5 µg</c:v>
                </c:pt>
                <c:pt idx="2">
                  <c:v>0.25 µg</c:v>
                </c:pt>
                <c:pt idx="3">
                  <c:v>0.125 µg</c:v>
                </c:pt>
              </c:strCache>
            </c:strRef>
          </c:cat>
          <c:val>
            <c:numRef>
              <c:f>SpikedWater!$N$12:$N$15</c:f>
              <c:numCache>
                <c:formatCode>0.00</c:formatCode>
                <c:ptCount val="4"/>
                <c:pt idx="0">
                  <c:v>15.3</c:v>
                </c:pt>
                <c:pt idx="1">
                  <c:v>17.574999999999999</c:v>
                </c:pt>
                <c:pt idx="2">
                  <c:v>17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C3-4EA8-8B54-2FF0AB9A4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0124080"/>
        <c:axId val="1550122000"/>
      </c:barChart>
      <c:catAx>
        <c:axId val="1550124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>
                    <a:solidFill>
                      <a:schemeClr val="tx1"/>
                    </a:solidFill>
                  </a:rPr>
                  <a:t>DNA starting</a:t>
                </a:r>
                <a:r>
                  <a:rPr lang="en-AU" baseline="0">
                    <a:solidFill>
                      <a:schemeClr val="tx1"/>
                    </a:solidFill>
                  </a:rPr>
                  <a:t> quantity and volume filtered</a:t>
                </a:r>
                <a:endParaRPr lang="en-AU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0122000"/>
        <c:crosses val="autoZero"/>
        <c:auto val="1"/>
        <c:lblAlgn val="ctr"/>
        <c:lblOffset val="100"/>
        <c:noMultiLvlLbl val="0"/>
      </c:catAx>
      <c:valAx>
        <c:axId val="15501220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>
                    <a:solidFill>
                      <a:schemeClr val="tx1"/>
                    </a:solidFill>
                  </a:rPr>
                  <a:t>Average Tp (mm:ss)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in"/>
        <c:minorTickMark val="in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01240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1 µg</c:v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SpikedFaecesgDNA!$A$3:$A$10</c15:sqref>
                  </c15:fullRef>
                </c:ext>
              </c:extLst>
              <c:f>SpikedFaecesgDNA!$A$5</c:f>
              <c:strCache>
                <c:ptCount val="1"/>
                <c:pt idx="0">
                  <c:v>1/20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SpikedFaecesgDNA!$B$3:$B$10</c15:sqref>
                  </c15:fullRef>
                </c:ext>
              </c:extLst>
              <c:f>SpikedFaecesgDNA!$B$5</c:f>
              <c:numCache>
                <c:formatCode>0.00</c:formatCode>
                <c:ptCount val="1"/>
                <c:pt idx="0">
                  <c:v>14.25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3-40DF-A52C-77FF4580D41B}"/>
            </c:ext>
          </c:extLst>
        </c:ser>
        <c:ser>
          <c:idx val="2"/>
          <c:order val="1"/>
          <c:tx>
            <c:v>0.5 µg</c:v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SpikedFaecesgDNA!$A$3:$A$10</c15:sqref>
                  </c15:fullRef>
                </c:ext>
              </c:extLst>
              <c:f>SpikedFaecesgDNA!$A$5</c:f>
              <c:strCache>
                <c:ptCount val="1"/>
                <c:pt idx="0">
                  <c:v>1/20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SpikedFaecesgDNA!$D$3:$D$10</c15:sqref>
                  </c15:fullRef>
                </c:ext>
              </c:extLst>
              <c:f>SpikedFaecesgDNA!$D$5</c:f>
              <c:numCache>
                <c:formatCode>0.00</c:formatCode>
                <c:ptCount val="1"/>
                <c:pt idx="0">
                  <c:v>11.33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SpikedFaecesgDNA!$D$9</c15:sqref>
                  <c15:spPr xmlns:c15="http://schemas.microsoft.com/office/drawing/2012/chart">
                    <a:pattFill prst="pct50">
                      <a:fgClr>
                        <a:schemeClr val="tx1"/>
                      </a:fgClr>
                      <a:bgClr>
                        <a:schemeClr val="bg1"/>
                      </a:bgClr>
                    </a:pattFill>
                    <a:ln>
                      <a:solidFill>
                        <a:schemeClr val="tx1"/>
                      </a:solidFill>
                    </a:ln>
                    <a:effectLst/>
                  </c15:spPr>
                  <c15:invertIfNegative val="0"/>
                  <c15:bubble3D val="0"/>
                </c15:categoryFilterException>
                <c15:categoryFilterException>
                  <c15:sqref>SpikedFaecesgDNA!$D$10</c15:sqref>
                  <c15:spPr xmlns:c15="http://schemas.microsoft.com/office/drawing/2012/chart">
                    <a:pattFill prst="pct50">
                      <a:fgClr>
                        <a:schemeClr val="tx1"/>
                      </a:fgClr>
                      <a:bgClr>
                        <a:schemeClr val="bg1"/>
                      </a:bgClr>
                    </a:pattFill>
                    <a:ln>
                      <a:solidFill>
                        <a:schemeClr val="tx1"/>
                      </a:solidFill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9893-40DF-A52C-77FF4580D41B}"/>
            </c:ext>
          </c:extLst>
        </c:ser>
        <c:ser>
          <c:idx val="1"/>
          <c:order val="2"/>
          <c:tx>
            <c:v>0.25 µg</c:v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SpikedFaecesgDNA!$A$3:$A$10</c15:sqref>
                  </c15:fullRef>
                </c:ext>
              </c:extLst>
              <c:f>SpikedFaecesgDNA!$A$5</c:f>
              <c:strCache>
                <c:ptCount val="1"/>
                <c:pt idx="0">
                  <c:v>1/20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SpikedFaecesgDNA!$F$3:$F$10</c15:sqref>
                  </c15:fullRef>
                </c:ext>
              </c:extLst>
              <c:f>SpikedFaecesgDNA!$F$5</c:f>
              <c:numCache>
                <c:formatCode>0.00</c:formatCode>
                <c:ptCount val="1"/>
                <c:pt idx="0">
                  <c:v>16.5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93-40DF-A52C-77FF4580D41B}"/>
            </c:ext>
          </c:extLst>
        </c:ser>
        <c:ser>
          <c:idx val="3"/>
          <c:order val="3"/>
          <c:tx>
            <c:v>0.125 µg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SpikedFaecesgDNA!$A$3:$A$10</c15:sqref>
                  </c15:fullRef>
                </c:ext>
              </c:extLst>
              <c:f>SpikedFaecesgDNA!$A$5</c:f>
              <c:strCache>
                <c:ptCount val="1"/>
                <c:pt idx="0">
                  <c:v>1/20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SpikedFaecesgDNA!$H$3:$H$10</c15:sqref>
                  </c15:fullRef>
                </c:ext>
              </c:extLst>
              <c:f>SpikedFaecesgDNA!$H$5</c:f>
              <c:numCache>
                <c:formatCode>0.00</c:formatCode>
                <c:ptCount val="1"/>
                <c:pt idx="0">
                  <c:v>15.75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893-40DF-A52C-77FF4580D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023647"/>
        <c:axId val="1032026143"/>
      </c:barChart>
      <c:catAx>
        <c:axId val="103202364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Starting</a:t>
                </a:r>
                <a:r>
                  <a:rPr lang="en-AU" baseline="0"/>
                  <a:t> DNA quantity and dilution factor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2026143"/>
        <c:crossesAt val="0"/>
        <c:auto val="1"/>
        <c:lblAlgn val="ctr"/>
        <c:lblOffset val="100"/>
        <c:noMultiLvlLbl val="0"/>
      </c:catAx>
      <c:valAx>
        <c:axId val="1032026143"/>
        <c:scaling>
          <c:orientation val="minMax"/>
          <c:max val="18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Average Tp</a:t>
                </a:r>
                <a:r>
                  <a:rPr lang="en-AU" baseline="0"/>
                  <a:t> (mm:ss)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202364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4"/>
          <c:order val="0"/>
          <c:tx>
            <c:v>1 µg</c:v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SpikedFaecesgDNA!$A$3:$A$10</c15:sqref>
                  </c15:fullRef>
                </c:ext>
              </c:extLst>
              <c:f>SpikedFaecesgDNA!$A$7</c:f>
              <c:strCache>
                <c:ptCount val="1"/>
                <c:pt idx="0">
                  <c:v>1/100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SpikedFaecesgDNA!$B$3:$B$10</c15:sqref>
                  </c15:fullRef>
                </c:ext>
              </c:extLst>
              <c:f>SpikedFaecesgDNA!$B$7</c:f>
              <c:numCache>
                <c:formatCode>0.00</c:formatCode>
                <c:ptCount val="1"/>
                <c:pt idx="0">
                  <c:v>10.27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DA0-4BDE-9793-F981D9B62C1B}"/>
            </c:ext>
          </c:extLst>
        </c:ser>
        <c:ser>
          <c:idx val="5"/>
          <c:order val="1"/>
          <c:tx>
            <c:v>0.5 µg</c:v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SpikedFaecesgDNA!$A$3:$A$10</c15:sqref>
                  </c15:fullRef>
                </c:ext>
              </c:extLst>
              <c:f>SpikedFaecesgDNA!$A$7</c:f>
              <c:strCache>
                <c:ptCount val="1"/>
                <c:pt idx="0">
                  <c:v>1/100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SpikedFaecesgDNA!$D$3:$D$10</c15:sqref>
                  </c15:fullRef>
                </c:ext>
              </c:extLst>
              <c:f>SpikedFaecesgDNA!$D$7</c:f>
              <c:numCache>
                <c:formatCode>0.00</c:formatCode>
                <c:ptCount val="1"/>
                <c:pt idx="0">
                  <c:v>10.18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DA0-4BDE-9793-F981D9B62C1B}"/>
            </c:ext>
          </c:extLst>
        </c:ser>
        <c:ser>
          <c:idx val="6"/>
          <c:order val="2"/>
          <c:tx>
            <c:v>0.25 µg</c:v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SpikedFaecesgDNA!$G$3:$G$10</c15:sqref>
                    </c15:fullRef>
                  </c:ext>
                </c:extLst>
                <c:f>SpikedFaecesgDNA!$G$7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SpikedFaecesgDNA!$G$3:$G$10</c15:sqref>
                    </c15:fullRef>
                  </c:ext>
                </c:extLst>
                <c:f>SpikedFaecesgDNA!$G$7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SpikedFaecesgDNA!$A$3:$A$10</c15:sqref>
                  </c15:fullRef>
                </c:ext>
              </c:extLst>
              <c:f>SpikedFaecesgDNA!$A$7</c:f>
              <c:strCache>
                <c:ptCount val="1"/>
                <c:pt idx="0">
                  <c:v>1/100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SpikedFaecesgDNA!$F$3:$F$10</c15:sqref>
                  </c15:fullRef>
                </c:ext>
              </c:extLst>
              <c:f>SpikedFaecesgDNA!$F$7</c:f>
              <c:numCache>
                <c:formatCode>0.00</c:formatCode>
                <c:ptCount val="1"/>
                <c:pt idx="0">
                  <c:v>13.45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DA0-4BDE-9793-F981D9B62C1B}"/>
            </c:ext>
          </c:extLst>
        </c:ser>
        <c:ser>
          <c:idx val="7"/>
          <c:order val="3"/>
          <c:tx>
            <c:v>0.125 µg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SpikedFaecesgDNA!$A$3:$A$10</c15:sqref>
                  </c15:fullRef>
                </c:ext>
              </c:extLst>
              <c:f>SpikedFaecesgDNA!$A$7</c:f>
              <c:strCache>
                <c:ptCount val="1"/>
                <c:pt idx="0">
                  <c:v>1/100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SpikedFaecesgDNA!$H$3:$H$10</c15:sqref>
                  </c15:fullRef>
                </c:ext>
              </c:extLst>
              <c:f>SpikedFaecesgDNA!$H$7</c:f>
              <c:numCache>
                <c:formatCode>0.00</c:formatCode>
                <c:ptCount val="1"/>
                <c:pt idx="0">
                  <c:v>14.07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DA0-4BDE-9793-F981D9B62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023647"/>
        <c:axId val="1032026143"/>
        <c:extLst>
          <c:ext xmlns:c15="http://schemas.microsoft.com/office/drawing/2012/chart" uri="{02D57815-91ED-43cb-92C2-25804820EDAC}">
            <c15:filteredBarSeries>
              <c15:ser>
                <c:idx val="0"/>
                <c:order val="4"/>
                <c:tx>
                  <c:v>1 µg</c:v>
                </c:tx>
                <c:spPr>
                  <a:pattFill prst="pct10">
                    <a:fgClr>
                      <a:schemeClr val="tx1"/>
                    </a:fgClr>
                    <a:bgClr>
                      <a:schemeClr val="bg1"/>
                    </a:bgClr>
                  </a:pattFill>
                  <a:ln>
                    <a:solidFill>
                      <a:schemeClr val="tx1"/>
                    </a:solidFill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Lit>
                      <c:ptCount val="0"/>
                    </c:numLit>
                  </c:plus>
                  <c:minus>
                    <c:numLit>
                      <c:ptCount val="0"/>
                    </c:numLit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ullRef>
                          <c15:sqref>SpikedFaecesgDNA!$A$7</c15:sqref>
                        </c15:fullRef>
                        <c15:formulaRef>
                          <c15:sqref/>
                        </c15:formulaRef>
                      </c:ext>
                    </c:extLst>
                    <c:strCache>
                      <c:ptCount val="0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SpikedFaecesgDNA!$B$7</c15:sqref>
                        </c15:fullRef>
                        <c15:formulaRef>
                          <c15:sqref/>
                        </c15:formulaRef>
                      </c:ext>
                    </c:extLst>
                    <c:numCache>
                      <c:formatCode>0.00</c:formatCode>
                      <c:ptCount val="0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ADA0-4BDE-9793-F981D9B62C1B}"/>
                  </c:ext>
                </c:extLst>
              </c15:ser>
            </c15:filteredBarSeries>
            <c15:filteredBarSeries>
              <c15:ser>
                <c:idx val="2"/>
                <c:order val="5"/>
                <c:tx>
                  <c:v>0.5 µg</c:v>
                </c:tx>
                <c:spPr>
                  <a:pattFill prst="pct50">
                    <a:fgClr>
                      <a:schemeClr val="tx1"/>
                    </a:fgClr>
                    <a:bgClr>
                      <a:schemeClr val="bg1"/>
                    </a:bgClr>
                  </a:pattFill>
                  <a:ln>
                    <a:solidFill>
                      <a:schemeClr val="tx1"/>
                    </a:solidFill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Lit>
                      <c:ptCount val="0"/>
                    </c:numLit>
                  </c:plus>
                  <c:minus>
                    <c:numLit>
                      <c:ptCount val="0"/>
                    </c:numLit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SpikedFaecesgDNA!$A$7</c15:sqref>
                        </c15:fullRef>
                        <c15:formulaRef>
                          <c15:sqref/>
                        </c15:formulaRef>
                      </c:ext>
                    </c:extLst>
                    <c:strCache>
                      <c:ptCount val="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SpikedFaecesgDNA!$D$7</c15:sqref>
                        </c15:fullRef>
                        <c15:formulaRef>
                          <c15:sqref/>
                        </c15:formulaRef>
                      </c:ext>
                    </c:extLst>
                    <c:numCache>
                      <c:formatCode>0.00</c:formatCode>
                      <c:ptCount val="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DA0-4BDE-9793-F981D9B62C1B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v>0.25 µg</c:v>
                </c:tx>
                <c:spPr>
                  <a:pattFill prst="pct30">
                    <a:fgClr>
                      <a:schemeClr val="tx1"/>
                    </a:fgClr>
                    <a:bgClr>
                      <a:schemeClr val="bg1"/>
                    </a:bgClr>
                  </a:pattFill>
                  <a:ln>
                    <a:solidFill>
                      <a:schemeClr val="tx1"/>
                    </a:solidFill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Lit>
                      <c:ptCount val="0"/>
                    </c:numLit>
                  </c:plus>
                  <c:minus>
                    <c:numLit>
                      <c:ptCount val="0"/>
                    </c:numLit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SpikedFaecesgDNA!$A$7</c15:sqref>
                        </c15:fullRef>
                        <c15:formulaRef>
                          <c15:sqref/>
                        </c15:formulaRef>
                      </c:ext>
                    </c:extLst>
                    <c:strCache>
                      <c:ptCount val="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SpikedFaecesgDNA!$F$7</c15:sqref>
                        </c15:fullRef>
                        <c15:formulaRef>
                          <c15:sqref/>
                        </c15:formulaRef>
                      </c:ext>
                    </c:extLst>
                    <c:numCache>
                      <c:formatCode>0.00</c:formatCode>
                      <c:ptCount val="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ADA0-4BDE-9793-F981D9B62C1B}"/>
                  </c:ext>
                </c:extLst>
              </c15:ser>
            </c15:filteredBarSeries>
            <c15:filteredBarSeries>
              <c15:ser>
                <c:idx val="3"/>
                <c:order val="7"/>
                <c:tx>
                  <c:v>0.125 µg</c:v>
                </c:tx>
                <c:spPr>
                  <a:pattFill prst="ltDnDiag">
                    <a:fgClr>
                      <a:schemeClr val="tx1"/>
                    </a:fgClr>
                    <a:bgClr>
                      <a:schemeClr val="bg1"/>
                    </a:bgClr>
                  </a:pattFill>
                  <a:ln>
                    <a:solidFill>
                      <a:schemeClr val="tx1"/>
                    </a:solidFill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Lit>
                      <c:ptCount val="0"/>
                    </c:numLit>
                  </c:plus>
                  <c:minus>
                    <c:numLit>
                      <c:ptCount val="0"/>
                    </c:numLit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SpikedFaecesgDNA!$A$7</c15:sqref>
                        </c15:fullRef>
                        <c15:formulaRef>
                          <c15:sqref/>
                        </c15:formulaRef>
                      </c:ext>
                    </c:extLst>
                    <c:strCache>
                      <c:ptCount val="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SpikedFaecesgDNA!$H$7</c15:sqref>
                        </c15:fullRef>
                        <c15:formulaRef>
                          <c15:sqref/>
                        </c15:formulaRef>
                      </c:ext>
                    </c:extLst>
                    <c:numCache>
                      <c:formatCode>0.00</c:formatCode>
                      <c:ptCount val="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ADA0-4BDE-9793-F981D9B62C1B}"/>
                  </c:ext>
                </c:extLst>
              </c15:ser>
            </c15:filteredBarSeries>
          </c:ext>
        </c:extLst>
      </c:barChart>
      <c:catAx>
        <c:axId val="103202364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Starting</a:t>
                </a:r>
                <a:r>
                  <a:rPr lang="en-AU" baseline="0"/>
                  <a:t> DNA quantity and dilution factor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2026143"/>
        <c:crossesAt val="0"/>
        <c:auto val="1"/>
        <c:lblAlgn val="ctr"/>
        <c:lblOffset val="100"/>
        <c:noMultiLvlLbl val="0"/>
      </c:catAx>
      <c:valAx>
        <c:axId val="1032026143"/>
        <c:scaling>
          <c:orientation val="minMax"/>
          <c:max val="18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Average Tp</a:t>
                </a:r>
                <a:r>
                  <a:rPr lang="en-AU" baseline="0"/>
                  <a:t> (mm:ss)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202364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1 µg</c:v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SpikedFaecesgDNA!$A$3:$A$10</c15:sqref>
                  </c15:fullRef>
                </c:ext>
              </c:extLst>
              <c:f>SpikedFaecesgDNA!$A$6</c:f>
              <c:strCache>
                <c:ptCount val="1"/>
                <c:pt idx="0">
                  <c:v>1/50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SpikedFaecesgDNA!$B$3:$B$10</c15:sqref>
                  </c15:fullRef>
                </c:ext>
              </c:extLst>
              <c:f>SpikedFaecesgDNA!$B$6</c:f>
              <c:numCache>
                <c:formatCode>0.00</c:formatCode>
                <c:ptCount val="1"/>
                <c:pt idx="0">
                  <c:v>10.83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5-4878-B148-76EC91EDC3DD}"/>
            </c:ext>
          </c:extLst>
        </c:ser>
        <c:ser>
          <c:idx val="2"/>
          <c:order val="1"/>
          <c:tx>
            <c:v>0.5 µg</c:v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SpikedFaecesgDNA!$A$3:$A$10</c15:sqref>
                  </c15:fullRef>
                </c:ext>
              </c:extLst>
              <c:f>SpikedFaecesgDNA!$A$6</c:f>
              <c:strCache>
                <c:ptCount val="1"/>
                <c:pt idx="0">
                  <c:v>1/50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SpikedFaecesgDNA!$D$3:$D$10</c15:sqref>
                  </c15:fullRef>
                </c:ext>
              </c:extLst>
              <c:f>SpikedFaecesgDNA!$D$6</c:f>
              <c:numCache>
                <c:formatCode>0.00</c:formatCode>
                <c:ptCount val="1"/>
                <c:pt idx="0">
                  <c:v>10.210000000000001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SpikedFaecesgDNA!$D$9</c15:sqref>
                  <c15:spPr xmlns:c15="http://schemas.microsoft.com/office/drawing/2012/chart">
                    <a:pattFill prst="pct50">
                      <a:fgClr>
                        <a:schemeClr val="tx1"/>
                      </a:fgClr>
                      <a:bgClr>
                        <a:schemeClr val="bg1"/>
                      </a:bgClr>
                    </a:pattFill>
                    <a:ln>
                      <a:solidFill>
                        <a:schemeClr val="tx1"/>
                      </a:solidFill>
                    </a:ln>
                    <a:effectLst/>
                  </c15:spPr>
                  <c15:invertIfNegative val="0"/>
                  <c15:bubble3D val="0"/>
                </c15:categoryFilterException>
                <c15:categoryFilterException>
                  <c15:sqref>SpikedFaecesgDNA!$D$10</c15:sqref>
                  <c15:spPr xmlns:c15="http://schemas.microsoft.com/office/drawing/2012/chart">
                    <a:pattFill prst="pct50">
                      <a:fgClr>
                        <a:schemeClr val="tx1"/>
                      </a:fgClr>
                      <a:bgClr>
                        <a:schemeClr val="bg1"/>
                      </a:bgClr>
                    </a:pattFill>
                    <a:ln>
                      <a:solidFill>
                        <a:schemeClr val="tx1"/>
                      </a:solidFill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5695-4878-B148-76EC91EDC3DD}"/>
            </c:ext>
          </c:extLst>
        </c:ser>
        <c:ser>
          <c:idx val="1"/>
          <c:order val="2"/>
          <c:tx>
            <c:v>0.25 µg</c:v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SpikedFaecesgDNA!$A$3:$A$10</c15:sqref>
                  </c15:fullRef>
                </c:ext>
              </c:extLst>
              <c:f>SpikedFaecesgDNA!$A$6</c:f>
              <c:strCache>
                <c:ptCount val="1"/>
                <c:pt idx="0">
                  <c:v>1/50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SpikedFaecesgDNA!$F$3:$F$10</c15:sqref>
                  </c15:fullRef>
                </c:ext>
              </c:extLst>
              <c:f>SpikedFaecesgDNA!$F$6</c:f>
              <c:numCache>
                <c:formatCode>0.00</c:formatCode>
                <c:ptCount val="1"/>
                <c:pt idx="0">
                  <c:v>13.57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95-4878-B148-76EC91EDC3DD}"/>
            </c:ext>
          </c:extLst>
        </c:ser>
        <c:ser>
          <c:idx val="3"/>
          <c:order val="3"/>
          <c:tx>
            <c:v>0.125 µg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SpikedFaecesgDNA!$A$3:$A$10</c15:sqref>
                  </c15:fullRef>
                </c:ext>
              </c:extLst>
              <c:f>SpikedFaecesgDNA!$A$6</c:f>
              <c:strCache>
                <c:ptCount val="1"/>
                <c:pt idx="0">
                  <c:v>1/50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SpikedFaecesgDNA!$H$3:$H$10</c15:sqref>
                  </c15:fullRef>
                </c:ext>
              </c:extLst>
              <c:f>SpikedFaecesgDNA!$H$6</c:f>
              <c:numCache>
                <c:formatCode>0.00</c:formatCode>
                <c:ptCount val="1"/>
                <c:pt idx="0">
                  <c:v>11.46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95-4878-B148-76EC91EDC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023647"/>
        <c:axId val="1032026143"/>
      </c:barChart>
      <c:catAx>
        <c:axId val="103202364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Starting</a:t>
                </a:r>
                <a:r>
                  <a:rPr lang="en-AU" baseline="0"/>
                  <a:t> DNA quantity and dilution factor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2026143"/>
        <c:crossesAt val="0"/>
        <c:auto val="1"/>
        <c:lblAlgn val="ctr"/>
        <c:lblOffset val="100"/>
        <c:noMultiLvlLbl val="0"/>
      </c:catAx>
      <c:valAx>
        <c:axId val="1032026143"/>
        <c:scaling>
          <c:orientation val="minMax"/>
          <c:max val="18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Average Tp</a:t>
                </a:r>
                <a:r>
                  <a:rPr lang="en-AU" baseline="0"/>
                  <a:t> (mm:ss)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202364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1 µg</c:v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SpikedFaecesgDNA!$A$3:$A$10</c15:sqref>
                  </c15:fullRef>
                </c:ext>
              </c:extLst>
              <c:f>SpikedFaecesgDNA!$A$8</c:f>
              <c:strCache>
                <c:ptCount val="1"/>
                <c:pt idx="0">
                  <c:v>1/200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SpikedFaecesgDNA!$B$3:$B$10</c15:sqref>
                  </c15:fullRef>
                </c:ext>
              </c:extLst>
              <c:f>SpikedFaecesgDNA!$B$8</c:f>
              <c:numCache>
                <c:formatCode>0.00</c:formatCode>
                <c:ptCount val="1"/>
                <c:pt idx="0">
                  <c:v>10.78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A-45EB-A708-BBF7A03BEAC3}"/>
            </c:ext>
          </c:extLst>
        </c:ser>
        <c:ser>
          <c:idx val="2"/>
          <c:order val="1"/>
          <c:tx>
            <c:v>0.5 µg</c:v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SpikedFaecesgDNA!$A$3:$A$10</c15:sqref>
                  </c15:fullRef>
                </c:ext>
              </c:extLst>
              <c:f>SpikedFaecesgDNA!$A$8</c:f>
              <c:strCache>
                <c:ptCount val="1"/>
                <c:pt idx="0">
                  <c:v>1/200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SpikedFaecesgDNA!$D$3:$D$10</c15:sqref>
                  </c15:fullRef>
                </c:ext>
              </c:extLst>
              <c:f>SpikedFaecesgDNA!$D$8</c:f>
              <c:numCache>
                <c:formatCode>0.00</c:formatCode>
                <c:ptCount val="1"/>
                <c:pt idx="0">
                  <c:v>11.3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SpikedFaecesgDNA!$D$9</c15:sqref>
                  <c15:spPr xmlns:c15="http://schemas.microsoft.com/office/drawing/2012/chart">
                    <a:pattFill prst="pct50">
                      <a:fgClr>
                        <a:schemeClr val="tx1"/>
                      </a:fgClr>
                      <a:bgClr>
                        <a:schemeClr val="bg1"/>
                      </a:bgClr>
                    </a:pattFill>
                    <a:ln>
                      <a:solidFill>
                        <a:schemeClr val="tx1"/>
                      </a:solidFill>
                    </a:ln>
                    <a:effectLst/>
                  </c15:spPr>
                  <c15:invertIfNegative val="0"/>
                  <c15:bubble3D val="0"/>
                </c15:categoryFilterException>
                <c15:categoryFilterException>
                  <c15:sqref>SpikedFaecesgDNA!$D$10</c15:sqref>
                  <c15:spPr xmlns:c15="http://schemas.microsoft.com/office/drawing/2012/chart">
                    <a:pattFill prst="pct50">
                      <a:fgClr>
                        <a:schemeClr val="tx1"/>
                      </a:fgClr>
                      <a:bgClr>
                        <a:schemeClr val="bg1"/>
                      </a:bgClr>
                    </a:pattFill>
                    <a:ln>
                      <a:solidFill>
                        <a:schemeClr val="tx1"/>
                      </a:solidFill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4F2A-45EB-A708-BBF7A03BEAC3}"/>
            </c:ext>
          </c:extLst>
        </c:ser>
        <c:ser>
          <c:idx val="1"/>
          <c:order val="2"/>
          <c:tx>
            <c:v>0.25 µg</c:v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SpikedFaecesgDNA!$G$3:$G$10</c15:sqref>
                    </c15:fullRef>
                  </c:ext>
                </c:extLst>
                <c:f>SpikedFaecesgDNA!$G$8</c:f>
                <c:numCache>
                  <c:formatCode>General</c:formatCode>
                  <c:ptCount val="1"/>
                  <c:pt idx="0">
                    <c:v>0.81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SpikedFaecesgDNA!$G$3:$G$10</c15:sqref>
                    </c15:fullRef>
                  </c:ext>
                </c:extLst>
                <c:f>SpikedFaecesgDNA!$G$8</c:f>
                <c:numCache>
                  <c:formatCode>General</c:formatCode>
                  <c:ptCount val="1"/>
                  <c:pt idx="0">
                    <c:v>0.81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SpikedFaecesgDNA!$A$3:$A$10</c15:sqref>
                  </c15:fullRef>
                </c:ext>
              </c:extLst>
              <c:f>SpikedFaecesgDNA!$A$8</c:f>
              <c:strCache>
                <c:ptCount val="1"/>
                <c:pt idx="0">
                  <c:v>1/200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SpikedFaecesgDNA!$F$3:$F$10</c15:sqref>
                  </c15:fullRef>
                </c:ext>
              </c:extLst>
              <c:f>SpikedFaecesgDNA!$F$8</c:f>
              <c:numCache>
                <c:formatCode>0.00</c:formatCode>
                <c:ptCount val="1"/>
                <c:pt idx="0">
                  <c:v>13.57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2A-45EB-A708-BBF7A03BEAC3}"/>
            </c:ext>
          </c:extLst>
        </c:ser>
        <c:ser>
          <c:idx val="3"/>
          <c:order val="3"/>
          <c:tx>
            <c:v>0.125 µg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SpikedFaecesgDNA!$A$3:$A$10</c15:sqref>
                  </c15:fullRef>
                </c:ext>
              </c:extLst>
              <c:f>SpikedFaecesgDNA!$A$8</c:f>
              <c:strCache>
                <c:ptCount val="1"/>
                <c:pt idx="0">
                  <c:v>1/200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SpikedFaecesgDNA!$H$3:$H$10</c15:sqref>
                  </c15:fullRef>
                </c:ext>
              </c:extLst>
              <c:f>SpikedFaecesgDNA!$H$8</c:f>
              <c:numCache>
                <c:formatCode>0.00</c:formatCode>
                <c:ptCount val="1"/>
                <c:pt idx="0">
                  <c:v>14.07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2A-45EB-A708-BBF7A03BE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023647"/>
        <c:axId val="1032026143"/>
      </c:barChart>
      <c:catAx>
        <c:axId val="103202364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Starting</a:t>
                </a:r>
                <a:r>
                  <a:rPr lang="en-AU" baseline="0"/>
                  <a:t> DNA quantity and dilution factor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2026143"/>
        <c:crossesAt val="0"/>
        <c:auto val="1"/>
        <c:lblAlgn val="ctr"/>
        <c:lblOffset val="100"/>
        <c:noMultiLvlLbl val="0"/>
      </c:catAx>
      <c:valAx>
        <c:axId val="1032026143"/>
        <c:scaling>
          <c:orientation val="minMax"/>
          <c:max val="18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Average Tp</a:t>
                </a:r>
                <a:r>
                  <a:rPr lang="en-AU" baseline="0"/>
                  <a:t> (mm:ss)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202364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1 µg</c:v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SpikedFaecesgDNA!$C$3:$C$10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7.0000000000000007E-2</c:v>
                  </c:pt>
                  <c:pt idx="3">
                    <c:v>0.34</c:v>
                  </c:pt>
                  <c:pt idx="4">
                    <c:v>0.18</c:v>
                  </c:pt>
                  <c:pt idx="5">
                    <c:v>0.39</c:v>
                  </c:pt>
                  <c:pt idx="6">
                    <c:v>0.06</c:v>
                  </c:pt>
                  <c:pt idx="7">
                    <c:v>0.1</c:v>
                  </c:pt>
                </c:numCache>
              </c:numRef>
            </c:plus>
            <c:minus>
              <c:numRef>
                <c:f>SpikedFaecesgDNA!$C$3:$C$10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7.0000000000000007E-2</c:v>
                  </c:pt>
                  <c:pt idx="3">
                    <c:v>0.34</c:v>
                  </c:pt>
                  <c:pt idx="4">
                    <c:v>0.18</c:v>
                  </c:pt>
                  <c:pt idx="5">
                    <c:v>0.39</c:v>
                  </c:pt>
                  <c:pt idx="6">
                    <c:v>0.06</c:v>
                  </c:pt>
                  <c:pt idx="7">
                    <c:v>0.1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SpikedFaecesgDNA!$A$3:$A$10</c:f>
              <c:strCache>
                <c:ptCount val="8"/>
                <c:pt idx="0">
                  <c:v>Neat</c:v>
                </c:pt>
                <c:pt idx="1">
                  <c:v>1/10</c:v>
                </c:pt>
                <c:pt idx="2">
                  <c:v>1/20</c:v>
                </c:pt>
                <c:pt idx="3">
                  <c:v>1/50</c:v>
                </c:pt>
                <c:pt idx="4">
                  <c:v>1/100</c:v>
                </c:pt>
                <c:pt idx="5">
                  <c:v>1/200</c:v>
                </c:pt>
                <c:pt idx="6">
                  <c:v>1/500</c:v>
                </c:pt>
                <c:pt idx="7">
                  <c:v>1/1000</c:v>
                </c:pt>
              </c:strCache>
            </c:strRef>
          </c:cat>
          <c:val>
            <c:numRef>
              <c:f>SpikedFaecesgDNA!$B$3:$B$10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14.25</c:v>
                </c:pt>
                <c:pt idx="3">
                  <c:v>10.83</c:v>
                </c:pt>
                <c:pt idx="4">
                  <c:v>10.27</c:v>
                </c:pt>
                <c:pt idx="5">
                  <c:v>10.78</c:v>
                </c:pt>
                <c:pt idx="6">
                  <c:v>11.15</c:v>
                </c:pt>
                <c:pt idx="7">
                  <c:v>12.22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F-4EFA-AA1B-5A50F1C8A548}"/>
            </c:ext>
          </c:extLst>
        </c:ser>
        <c:ser>
          <c:idx val="2"/>
          <c:order val="1"/>
          <c:tx>
            <c:v>0.5 µg</c:v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Pt>
            <c:idx val="6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87F-4EFA-AA1B-5A50F1C8A548}"/>
              </c:ext>
            </c:extLst>
          </c:dPt>
          <c:dPt>
            <c:idx val="7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87F-4EFA-AA1B-5A50F1C8A548}"/>
              </c:ext>
            </c:extLst>
          </c:dPt>
          <c:errBars>
            <c:errBarType val="both"/>
            <c:errValType val="cust"/>
            <c:noEndCap val="0"/>
            <c:plus>
              <c:numRef>
                <c:f>SpikedFaecesgDNA!$E$3:$E$10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0.33</c:v>
                  </c:pt>
                  <c:pt idx="2">
                    <c:v>0.14000000000000001</c:v>
                  </c:pt>
                  <c:pt idx="3">
                    <c:v>0.05</c:v>
                  </c:pt>
                  <c:pt idx="4">
                    <c:v>0.01</c:v>
                  </c:pt>
                  <c:pt idx="5">
                    <c:v>0.21</c:v>
                  </c:pt>
                  <c:pt idx="6">
                    <c:v>0.49</c:v>
                  </c:pt>
                  <c:pt idx="7">
                    <c:v>0</c:v>
                  </c:pt>
                </c:numCache>
              </c:numRef>
            </c:plus>
            <c:minus>
              <c:numRef>
                <c:f>SpikedFaecesgDNA!$E$3:$E$10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0.33</c:v>
                  </c:pt>
                  <c:pt idx="2">
                    <c:v>0.14000000000000001</c:v>
                  </c:pt>
                  <c:pt idx="3">
                    <c:v>0.05</c:v>
                  </c:pt>
                  <c:pt idx="4">
                    <c:v>0.01</c:v>
                  </c:pt>
                  <c:pt idx="5">
                    <c:v>0.21</c:v>
                  </c:pt>
                  <c:pt idx="6">
                    <c:v>0.49</c:v>
                  </c:pt>
                  <c:pt idx="7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SpikedFaecesgDNA!$A$3:$A$10</c:f>
              <c:strCache>
                <c:ptCount val="8"/>
                <c:pt idx="0">
                  <c:v>Neat</c:v>
                </c:pt>
                <c:pt idx="1">
                  <c:v>1/10</c:v>
                </c:pt>
                <c:pt idx="2">
                  <c:v>1/20</c:v>
                </c:pt>
                <c:pt idx="3">
                  <c:v>1/50</c:v>
                </c:pt>
                <c:pt idx="4">
                  <c:v>1/100</c:v>
                </c:pt>
                <c:pt idx="5">
                  <c:v>1/200</c:v>
                </c:pt>
                <c:pt idx="6">
                  <c:v>1/500</c:v>
                </c:pt>
                <c:pt idx="7">
                  <c:v>1/1000</c:v>
                </c:pt>
              </c:strCache>
            </c:strRef>
          </c:cat>
          <c:val>
            <c:numRef>
              <c:f>SpikedFaecesgDNA!$D$3:$D$10</c:f>
              <c:numCache>
                <c:formatCode>0.00</c:formatCode>
                <c:ptCount val="8"/>
                <c:pt idx="0">
                  <c:v>0</c:v>
                </c:pt>
                <c:pt idx="1">
                  <c:v>17.34</c:v>
                </c:pt>
                <c:pt idx="2">
                  <c:v>11.33</c:v>
                </c:pt>
                <c:pt idx="3">
                  <c:v>10.210000000000001</c:v>
                </c:pt>
                <c:pt idx="4">
                  <c:v>10.18</c:v>
                </c:pt>
                <c:pt idx="5">
                  <c:v>11.3</c:v>
                </c:pt>
                <c:pt idx="6">
                  <c:v>12.65</c:v>
                </c:pt>
                <c:pt idx="7">
                  <c:v>12.45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7F-4EFA-AA1B-5A50F1C8A548}"/>
            </c:ext>
          </c:extLst>
        </c:ser>
        <c:ser>
          <c:idx val="1"/>
          <c:order val="2"/>
          <c:tx>
            <c:v>0.25 µg</c:v>
          </c:tx>
          <c:spPr>
            <a:pattFill prst="pct6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SpikedFaecesgDNA!$G$3:$G$10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0.71</c:v>
                  </c:pt>
                  <c:pt idx="3">
                    <c:v>0.81</c:v>
                  </c:pt>
                  <c:pt idx="4">
                    <c:v>0</c:v>
                  </c:pt>
                  <c:pt idx="5">
                    <c:v>0.81</c:v>
                  </c:pt>
                  <c:pt idx="6">
                    <c:v>2.83</c:v>
                  </c:pt>
                  <c:pt idx="7">
                    <c:v>3.55</c:v>
                  </c:pt>
                </c:numCache>
              </c:numRef>
            </c:plus>
            <c:minus>
              <c:numRef>
                <c:f>SpikedFaecesgDNA!$G$3:$G$10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0.71</c:v>
                  </c:pt>
                  <c:pt idx="3">
                    <c:v>0.81</c:v>
                  </c:pt>
                  <c:pt idx="4">
                    <c:v>0</c:v>
                  </c:pt>
                  <c:pt idx="5">
                    <c:v>0.81</c:v>
                  </c:pt>
                  <c:pt idx="6">
                    <c:v>2.83</c:v>
                  </c:pt>
                  <c:pt idx="7">
                    <c:v>3.55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SpikedFaecesgDNA!$A$3:$A$10</c:f>
              <c:strCache>
                <c:ptCount val="8"/>
                <c:pt idx="0">
                  <c:v>Neat</c:v>
                </c:pt>
                <c:pt idx="1">
                  <c:v>1/10</c:v>
                </c:pt>
                <c:pt idx="2">
                  <c:v>1/20</c:v>
                </c:pt>
                <c:pt idx="3">
                  <c:v>1/50</c:v>
                </c:pt>
                <c:pt idx="4">
                  <c:v>1/100</c:v>
                </c:pt>
                <c:pt idx="5">
                  <c:v>1/200</c:v>
                </c:pt>
                <c:pt idx="6">
                  <c:v>1/500</c:v>
                </c:pt>
                <c:pt idx="7">
                  <c:v>1/1000</c:v>
                </c:pt>
              </c:strCache>
            </c:strRef>
          </c:cat>
          <c:val>
            <c:numRef>
              <c:f>SpikedFaecesgDNA!$F$3:$F$10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16.5</c:v>
                </c:pt>
                <c:pt idx="3">
                  <c:v>13.57</c:v>
                </c:pt>
                <c:pt idx="4">
                  <c:v>13.45</c:v>
                </c:pt>
                <c:pt idx="5">
                  <c:v>13.57</c:v>
                </c:pt>
                <c:pt idx="6">
                  <c:v>19</c:v>
                </c:pt>
                <c:pt idx="7">
                  <c:v>15.95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7F-4EFA-AA1B-5A50F1C8A548}"/>
            </c:ext>
          </c:extLst>
        </c:ser>
        <c:ser>
          <c:idx val="3"/>
          <c:order val="3"/>
          <c:tx>
            <c:v>0.125 µg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SpikedFaecesgDNA!$I$3:$I$10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0.6</c:v>
                  </c:pt>
                  <c:pt idx="3">
                    <c:v>0.09</c:v>
                  </c:pt>
                  <c:pt idx="4">
                    <c:v>1.52</c:v>
                  </c:pt>
                  <c:pt idx="5">
                    <c:v>1.52</c:v>
                  </c:pt>
                  <c:pt idx="6">
                    <c:v>2.62</c:v>
                  </c:pt>
                  <c:pt idx="7">
                    <c:v>0.49</c:v>
                  </c:pt>
                </c:numCache>
              </c:numRef>
            </c:plus>
            <c:minus>
              <c:numRef>
                <c:f>SpikedFaecesgDNA!$I$3:$I$10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0.6</c:v>
                  </c:pt>
                  <c:pt idx="3">
                    <c:v>0.09</c:v>
                  </c:pt>
                  <c:pt idx="4">
                    <c:v>1.52</c:v>
                  </c:pt>
                  <c:pt idx="5">
                    <c:v>1.52</c:v>
                  </c:pt>
                  <c:pt idx="6">
                    <c:v>2.62</c:v>
                  </c:pt>
                  <c:pt idx="7">
                    <c:v>0.49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SpikedFaecesgDNA!$A$3:$A$10</c:f>
              <c:strCache>
                <c:ptCount val="8"/>
                <c:pt idx="0">
                  <c:v>Neat</c:v>
                </c:pt>
                <c:pt idx="1">
                  <c:v>1/10</c:v>
                </c:pt>
                <c:pt idx="2">
                  <c:v>1/20</c:v>
                </c:pt>
                <c:pt idx="3">
                  <c:v>1/50</c:v>
                </c:pt>
                <c:pt idx="4">
                  <c:v>1/100</c:v>
                </c:pt>
                <c:pt idx="5">
                  <c:v>1/200</c:v>
                </c:pt>
                <c:pt idx="6">
                  <c:v>1/500</c:v>
                </c:pt>
                <c:pt idx="7">
                  <c:v>1/1000</c:v>
                </c:pt>
              </c:strCache>
            </c:strRef>
          </c:cat>
          <c:val>
            <c:numRef>
              <c:f>SpikedFaecesgDNA!$H$3:$H$10</c:f>
              <c:numCache>
                <c:formatCode>0.00</c:formatCode>
                <c:ptCount val="8"/>
                <c:pt idx="0">
                  <c:v>0</c:v>
                </c:pt>
                <c:pt idx="1">
                  <c:v>17</c:v>
                </c:pt>
                <c:pt idx="2">
                  <c:v>15.75</c:v>
                </c:pt>
                <c:pt idx="3">
                  <c:v>11.46</c:v>
                </c:pt>
                <c:pt idx="4">
                  <c:v>14.07</c:v>
                </c:pt>
                <c:pt idx="5">
                  <c:v>14.07</c:v>
                </c:pt>
                <c:pt idx="6">
                  <c:v>16.3</c:v>
                </c:pt>
                <c:pt idx="7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87F-4EFA-AA1B-5A50F1C8A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023647"/>
        <c:axId val="1032026143"/>
      </c:barChart>
      <c:catAx>
        <c:axId val="103202364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Starting</a:t>
                </a:r>
                <a:r>
                  <a:rPr lang="en-AU" baseline="0"/>
                  <a:t> DNA quantity and dilution factor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2026143"/>
        <c:crossesAt val="0"/>
        <c:auto val="1"/>
        <c:lblAlgn val="ctr"/>
        <c:lblOffset val="100"/>
        <c:noMultiLvlLbl val="0"/>
      </c:catAx>
      <c:valAx>
        <c:axId val="10320261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Average Tp</a:t>
                </a:r>
                <a:r>
                  <a:rPr lang="en-AU" baseline="0"/>
                  <a:t> (mm:ss)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202364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1 µg</c:v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7.0000000000000007E-2</c:v>
                </c:pt>
              </c:numLit>
            </c:plus>
            <c:minus>
              <c:numLit>
                <c:formatCode>General</c:formatCode>
                <c:ptCount val="1"/>
                <c:pt idx="0">
                  <c:v>7.0000000000000007E-2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SpikedFaecesgDNA!$A$5</c:f>
              <c:strCache>
                <c:ptCount val="1"/>
                <c:pt idx="0">
                  <c:v>1/20</c:v>
                </c:pt>
              </c:strCache>
              <c:extLst/>
            </c:strRef>
          </c:cat>
          <c:val>
            <c:numRef>
              <c:f>SpikedFaecesgDNA!$B$5</c:f>
              <c:numCache>
                <c:formatCode>0.00</c:formatCode>
                <c:ptCount val="1"/>
                <c:pt idx="0">
                  <c:v>14.25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C5C0-4853-B06D-3178D974C8CD}"/>
            </c:ext>
          </c:extLst>
        </c:ser>
        <c:ser>
          <c:idx val="2"/>
          <c:order val="1"/>
          <c:tx>
            <c:v>0.5 µg</c:v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0.14000000000000001</c:v>
                </c:pt>
              </c:numLit>
            </c:plus>
            <c:minus>
              <c:numLit>
                <c:formatCode>General</c:formatCode>
                <c:ptCount val="1"/>
                <c:pt idx="0">
                  <c:v>0.14000000000000001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SpikedFaecesgDNA!$A$5</c:f>
              <c:strCache>
                <c:ptCount val="1"/>
                <c:pt idx="0">
                  <c:v>1/20</c:v>
                </c:pt>
              </c:strCache>
              <c:extLst/>
            </c:strRef>
          </c:cat>
          <c:val>
            <c:numRef>
              <c:f>SpikedFaecesgDNA!$D$5</c:f>
              <c:numCache>
                <c:formatCode>0.00</c:formatCode>
                <c:ptCount val="1"/>
                <c:pt idx="0">
                  <c:v>11.33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C5C0-4853-B06D-3178D974C8CD}"/>
            </c:ext>
          </c:extLst>
        </c:ser>
        <c:ser>
          <c:idx val="1"/>
          <c:order val="2"/>
          <c:tx>
            <c:v>0.25 µg</c:v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0.71</c:v>
                </c:pt>
              </c:numLit>
            </c:plus>
            <c:minus>
              <c:numLit>
                <c:formatCode>General</c:formatCode>
                <c:ptCount val="1"/>
                <c:pt idx="0">
                  <c:v>0.71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SpikedFaecesgDNA!$A$5</c:f>
              <c:strCache>
                <c:ptCount val="1"/>
                <c:pt idx="0">
                  <c:v>1/20</c:v>
                </c:pt>
              </c:strCache>
              <c:extLst/>
            </c:strRef>
          </c:cat>
          <c:val>
            <c:numRef>
              <c:f>SpikedFaecesgDNA!$F$5</c:f>
              <c:numCache>
                <c:formatCode>0.00</c:formatCode>
                <c:ptCount val="1"/>
                <c:pt idx="0">
                  <c:v>16.5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2-C5C0-4853-B06D-3178D974C8CD}"/>
            </c:ext>
          </c:extLst>
        </c:ser>
        <c:ser>
          <c:idx val="3"/>
          <c:order val="3"/>
          <c:tx>
            <c:v>0.125 µg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0.6</c:v>
                </c:pt>
              </c:numLit>
            </c:plus>
            <c:minus>
              <c:numLit>
                <c:formatCode>General</c:formatCode>
                <c:ptCount val="1"/>
                <c:pt idx="0">
                  <c:v>0.6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SpikedFaecesgDNA!$A$5</c:f>
              <c:strCache>
                <c:ptCount val="1"/>
                <c:pt idx="0">
                  <c:v>1/20</c:v>
                </c:pt>
              </c:strCache>
              <c:extLst/>
            </c:strRef>
          </c:cat>
          <c:val>
            <c:numRef>
              <c:f>SpikedFaecesgDNA!$H$5</c:f>
              <c:numCache>
                <c:formatCode>0.00</c:formatCode>
                <c:ptCount val="1"/>
                <c:pt idx="0">
                  <c:v>15.75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3-C5C0-4853-B06D-3178D974C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023647"/>
        <c:axId val="1032026143"/>
      </c:barChart>
      <c:catAx>
        <c:axId val="103202364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Starting</a:t>
                </a:r>
                <a:r>
                  <a:rPr lang="en-AU" baseline="0"/>
                  <a:t> DNA quantity and dilution factor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2026143"/>
        <c:crossesAt val="0"/>
        <c:auto val="1"/>
        <c:lblAlgn val="ctr"/>
        <c:lblOffset val="100"/>
        <c:noMultiLvlLbl val="0"/>
      </c:catAx>
      <c:valAx>
        <c:axId val="1032026143"/>
        <c:scaling>
          <c:orientation val="minMax"/>
          <c:max val="18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Average Tp</a:t>
                </a:r>
                <a:r>
                  <a:rPr lang="en-AU" baseline="0"/>
                  <a:t> (mm:ss)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202364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4"/>
          <c:order val="0"/>
          <c:tx>
            <c:v>1 µg</c:v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0.18</c:v>
                </c:pt>
              </c:numLit>
            </c:plus>
            <c:minus>
              <c:numLit>
                <c:formatCode>General</c:formatCode>
                <c:ptCount val="1"/>
                <c:pt idx="0">
                  <c:v>0.18</c:v>
                </c:pt>
              </c:numLit>
            </c:minus>
          </c:errBars>
          <c:cat>
            <c:strRef>
              <c:f>SpikedFaecesgDNA!$A$7</c:f>
              <c:strCache>
                <c:ptCount val="1"/>
                <c:pt idx="0">
                  <c:v>1/100</c:v>
                </c:pt>
              </c:strCache>
              <c:extLst/>
            </c:strRef>
          </c:cat>
          <c:val>
            <c:numRef>
              <c:f>SpikedFaecesgDNA!$B$7</c:f>
              <c:numCache>
                <c:formatCode>0.00</c:formatCode>
                <c:ptCount val="1"/>
                <c:pt idx="0">
                  <c:v>10.27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CED4-4969-89AC-D7302DF81D4B}"/>
            </c:ext>
          </c:extLst>
        </c:ser>
        <c:ser>
          <c:idx val="5"/>
          <c:order val="1"/>
          <c:tx>
            <c:v>0.5 µg</c:v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0.01</c:v>
                </c:pt>
              </c:numLit>
            </c:plus>
            <c:minus>
              <c:numLit>
                <c:formatCode>General</c:formatCode>
                <c:ptCount val="1"/>
                <c:pt idx="0">
                  <c:v>0.01</c:v>
                </c:pt>
              </c:numLit>
            </c:minus>
          </c:errBars>
          <c:cat>
            <c:strRef>
              <c:f>SpikedFaecesgDNA!$A$7</c:f>
              <c:strCache>
                <c:ptCount val="1"/>
                <c:pt idx="0">
                  <c:v>1/100</c:v>
                </c:pt>
              </c:strCache>
              <c:extLst/>
            </c:strRef>
          </c:cat>
          <c:val>
            <c:numRef>
              <c:f>SpikedFaecesgDNA!$D$7</c:f>
              <c:numCache>
                <c:formatCode>0.00</c:formatCode>
                <c:ptCount val="1"/>
                <c:pt idx="0">
                  <c:v>10.18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CED4-4969-89AC-D7302DF81D4B}"/>
            </c:ext>
          </c:extLst>
        </c:ser>
        <c:ser>
          <c:idx val="6"/>
          <c:order val="2"/>
          <c:tx>
            <c:v>0.25 µg</c:v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</c:errBars>
          <c:cat>
            <c:strRef>
              <c:f>SpikedFaecesgDNA!$A$7</c:f>
              <c:strCache>
                <c:ptCount val="1"/>
                <c:pt idx="0">
                  <c:v>1/100</c:v>
                </c:pt>
              </c:strCache>
              <c:extLst/>
            </c:strRef>
          </c:cat>
          <c:val>
            <c:numRef>
              <c:f>SpikedFaecesgDNA!$F$7</c:f>
              <c:numCache>
                <c:formatCode>0.00</c:formatCode>
                <c:ptCount val="1"/>
                <c:pt idx="0">
                  <c:v>13.45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2-CED4-4969-89AC-D7302DF81D4B}"/>
            </c:ext>
          </c:extLst>
        </c:ser>
        <c:ser>
          <c:idx val="7"/>
          <c:order val="3"/>
          <c:tx>
            <c:v>0.125 µg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1.52</c:v>
                </c:pt>
              </c:numLit>
            </c:plus>
            <c:minus>
              <c:numLit>
                <c:formatCode>General</c:formatCode>
                <c:ptCount val="1"/>
                <c:pt idx="0">
                  <c:v>1.52</c:v>
                </c:pt>
              </c:numLit>
            </c:minus>
          </c:errBars>
          <c:cat>
            <c:strRef>
              <c:f>SpikedFaecesgDNA!$A$7</c:f>
              <c:strCache>
                <c:ptCount val="1"/>
                <c:pt idx="0">
                  <c:v>1/100</c:v>
                </c:pt>
              </c:strCache>
              <c:extLst/>
            </c:strRef>
          </c:cat>
          <c:val>
            <c:numRef>
              <c:f>SpikedFaecesgDNA!$H$7</c:f>
              <c:numCache>
                <c:formatCode>0.00</c:formatCode>
                <c:ptCount val="1"/>
                <c:pt idx="0">
                  <c:v>14.07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3-CED4-4969-89AC-D7302DF81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023647"/>
        <c:axId val="1032026143"/>
        <c:extLst>
          <c:ext xmlns:c15="http://schemas.microsoft.com/office/drawing/2012/chart" uri="{02D57815-91ED-43cb-92C2-25804820EDAC}">
            <c15:filteredBarSeries>
              <c15:ser>
                <c:idx val="0"/>
                <c:order val="4"/>
                <c:tx>
                  <c:v>1 µg</c:v>
                </c:tx>
                <c:spPr>
                  <a:pattFill prst="pct10">
                    <a:fgClr>
                      <a:schemeClr val="tx1"/>
                    </a:fgClr>
                    <a:bgClr>
                      <a:schemeClr val="bg1"/>
                    </a:bgClr>
                  </a:pattFill>
                  <a:ln>
                    <a:solidFill>
                      <a:schemeClr val="tx1"/>
                    </a:solidFill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Lit>
                      <c:ptCount val="0"/>
                    </c:numLit>
                  </c:plus>
                  <c:minus>
                    <c:numLit>
                      <c:ptCount val="0"/>
                    </c:numLit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mc:AlternateContent xmlns:mc="http://schemas.openxmlformats.org/markup-compatibility/2006">
                    <mc:Choice xmlns:c16ac="http://schemas.microsoft.com/office/drawing/2014/chart/ac" Requires="c16ac">
                      <c16ac:multiLvlStrLit>
                        <c:ptCount val="0"/>
                      </c16ac:multiLvlStrLit>
                    </mc:Choice>
                    <mc:Fallback>
                      <c:strLit/>
                    </mc:Fallback>
                  </mc:AlternateContent>
                </c:cat>
                <c:val>
                  <c:numLit>
                    <c:ptCount val="0"/>
                  </c:numLit>
                </c:val>
                <c:extLst>
                  <c:ext xmlns:c16="http://schemas.microsoft.com/office/drawing/2014/chart" uri="{C3380CC4-5D6E-409C-BE32-E72D297353CC}">
                    <c16:uniqueId val="{00000004-CED4-4969-89AC-D7302DF81D4B}"/>
                  </c:ext>
                </c:extLst>
              </c15:ser>
            </c15:filteredBarSeries>
            <c15:filteredBarSeries>
              <c15:ser>
                <c:idx val="2"/>
                <c:order val="5"/>
                <c:tx>
                  <c:v>0.5 µg</c:v>
                </c:tx>
                <c:spPr>
                  <a:pattFill prst="pct50">
                    <a:fgClr>
                      <a:schemeClr val="tx1"/>
                    </a:fgClr>
                    <a:bgClr>
                      <a:schemeClr val="bg1"/>
                    </a:bgClr>
                  </a:pattFill>
                  <a:ln>
                    <a:solidFill>
                      <a:schemeClr val="tx1"/>
                    </a:solidFill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Lit>
                      <c:ptCount val="0"/>
                    </c:numLit>
                  </c:plus>
                  <c:minus>
                    <c:numLit>
                      <c:ptCount val="0"/>
                    </c:numLit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mc:AlternateContent xmlns:mc="http://schemas.openxmlformats.org/markup-compatibility/2006">
                    <mc:Choice xmlns:c16ac="http://schemas.microsoft.com/office/drawing/2014/chart/ac" Requires="c16ac">
                      <c16ac:multiLvlStrLit>
                        <c:ptCount val="0"/>
                      </c16ac:multiLvlStrLit>
                    </mc:Choice>
                    <mc:Fallback>
                      <c:strLit/>
                    </mc:Fallback>
                  </mc:AlternateContent>
                </c:cat>
                <c:val>
                  <c:numLit>
                    <c:ptCount val="0"/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ED4-4969-89AC-D7302DF81D4B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v>0.25 µg</c:v>
                </c:tx>
                <c:spPr>
                  <a:pattFill prst="pct30">
                    <a:fgClr>
                      <a:schemeClr val="tx1"/>
                    </a:fgClr>
                    <a:bgClr>
                      <a:schemeClr val="bg1"/>
                    </a:bgClr>
                  </a:pattFill>
                  <a:ln>
                    <a:solidFill>
                      <a:schemeClr val="tx1"/>
                    </a:solidFill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Lit>
                      <c:ptCount val="0"/>
                    </c:numLit>
                  </c:plus>
                  <c:minus>
                    <c:numLit>
                      <c:ptCount val="0"/>
                    </c:numLit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mc:AlternateContent xmlns:mc="http://schemas.openxmlformats.org/markup-compatibility/2006">
                    <mc:Choice xmlns:c16ac="http://schemas.microsoft.com/office/drawing/2014/chart/ac" Requires="c16ac">
                      <c16ac:multiLvlStrLit>
                        <c:ptCount val="0"/>
                      </c16ac:multiLvlStrLit>
                    </mc:Choice>
                    <mc:Fallback>
                      <c:strLit/>
                    </mc:Fallback>
                  </mc:AlternateContent>
                </c:cat>
                <c:val>
                  <c:numLit>
                    <c:ptCount val="0"/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ED4-4969-89AC-D7302DF81D4B}"/>
                  </c:ext>
                </c:extLst>
              </c15:ser>
            </c15:filteredBarSeries>
            <c15:filteredBarSeries>
              <c15:ser>
                <c:idx val="3"/>
                <c:order val="7"/>
                <c:tx>
                  <c:v>0.125 µg</c:v>
                </c:tx>
                <c:spPr>
                  <a:pattFill prst="ltDnDiag">
                    <a:fgClr>
                      <a:schemeClr val="tx1"/>
                    </a:fgClr>
                    <a:bgClr>
                      <a:schemeClr val="bg1"/>
                    </a:bgClr>
                  </a:pattFill>
                  <a:ln>
                    <a:solidFill>
                      <a:schemeClr val="tx1"/>
                    </a:solidFill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Lit>
                      <c:ptCount val="0"/>
                    </c:numLit>
                  </c:plus>
                  <c:minus>
                    <c:numLit>
                      <c:ptCount val="0"/>
                    </c:numLit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mc:AlternateContent xmlns:mc="http://schemas.openxmlformats.org/markup-compatibility/2006">
                    <mc:Choice xmlns:c16ac="http://schemas.microsoft.com/office/drawing/2014/chart/ac" Requires="c16ac">
                      <c16ac:multiLvlStrLit>
                        <c:ptCount val="0"/>
                      </c16ac:multiLvlStrLit>
                    </mc:Choice>
                    <mc:Fallback>
                      <c:strLit/>
                    </mc:Fallback>
                  </mc:AlternateContent>
                </c:cat>
                <c:val>
                  <c:numLit>
                    <c:ptCount val="0"/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ED4-4969-89AC-D7302DF81D4B}"/>
                  </c:ext>
                </c:extLst>
              </c15:ser>
            </c15:filteredBarSeries>
          </c:ext>
        </c:extLst>
      </c:barChart>
      <c:catAx>
        <c:axId val="103202364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Starting</a:t>
                </a:r>
                <a:r>
                  <a:rPr lang="en-AU" baseline="0"/>
                  <a:t> DNA quantity and dilution factor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2026143"/>
        <c:crossesAt val="0"/>
        <c:auto val="1"/>
        <c:lblAlgn val="ctr"/>
        <c:lblOffset val="100"/>
        <c:noMultiLvlLbl val="0"/>
      </c:catAx>
      <c:valAx>
        <c:axId val="1032026143"/>
        <c:scaling>
          <c:orientation val="minMax"/>
          <c:max val="18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Average Tp</a:t>
                </a:r>
                <a:r>
                  <a:rPr lang="en-AU" baseline="0"/>
                  <a:t> (mm:ss)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202364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1 µg</c:v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0.34</c:v>
                </c:pt>
              </c:numLit>
            </c:plus>
            <c:minus>
              <c:numLit>
                <c:formatCode>General</c:formatCode>
                <c:ptCount val="1"/>
                <c:pt idx="0">
                  <c:v>0.34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SpikedFaecesgDNA!$A$6</c:f>
              <c:strCache>
                <c:ptCount val="1"/>
                <c:pt idx="0">
                  <c:v>1/50</c:v>
                </c:pt>
              </c:strCache>
              <c:extLst/>
            </c:strRef>
          </c:cat>
          <c:val>
            <c:numRef>
              <c:f>SpikedFaecesgDNA!$B$6</c:f>
              <c:numCache>
                <c:formatCode>0.00</c:formatCode>
                <c:ptCount val="1"/>
                <c:pt idx="0">
                  <c:v>10.83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2D9D-4912-A04F-E279A5C2A982}"/>
            </c:ext>
          </c:extLst>
        </c:ser>
        <c:ser>
          <c:idx val="2"/>
          <c:order val="1"/>
          <c:tx>
            <c:v>0.5 µg</c:v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0.05</c:v>
                </c:pt>
              </c:numLit>
            </c:plus>
            <c:minus>
              <c:numLit>
                <c:formatCode>General</c:formatCode>
                <c:ptCount val="1"/>
                <c:pt idx="0">
                  <c:v>0.05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SpikedFaecesgDNA!$A$6</c:f>
              <c:strCache>
                <c:ptCount val="1"/>
                <c:pt idx="0">
                  <c:v>1/50</c:v>
                </c:pt>
              </c:strCache>
              <c:extLst/>
            </c:strRef>
          </c:cat>
          <c:val>
            <c:numRef>
              <c:f>SpikedFaecesgDNA!$D$6</c:f>
              <c:numCache>
                <c:formatCode>0.00</c:formatCode>
                <c:ptCount val="1"/>
                <c:pt idx="0">
                  <c:v>10.210000000000001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2D9D-4912-A04F-E279A5C2A982}"/>
            </c:ext>
          </c:extLst>
        </c:ser>
        <c:ser>
          <c:idx val="1"/>
          <c:order val="2"/>
          <c:tx>
            <c:v>0.25 µg</c:v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0.81</c:v>
                </c:pt>
              </c:numLit>
            </c:plus>
            <c:minus>
              <c:numLit>
                <c:formatCode>General</c:formatCode>
                <c:ptCount val="1"/>
                <c:pt idx="0">
                  <c:v>0.81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SpikedFaecesgDNA!$A$6</c:f>
              <c:strCache>
                <c:ptCount val="1"/>
                <c:pt idx="0">
                  <c:v>1/50</c:v>
                </c:pt>
              </c:strCache>
              <c:extLst/>
            </c:strRef>
          </c:cat>
          <c:val>
            <c:numRef>
              <c:f>SpikedFaecesgDNA!$F$6</c:f>
              <c:numCache>
                <c:formatCode>0.00</c:formatCode>
                <c:ptCount val="1"/>
                <c:pt idx="0">
                  <c:v>13.57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2-2D9D-4912-A04F-E279A5C2A982}"/>
            </c:ext>
          </c:extLst>
        </c:ser>
        <c:ser>
          <c:idx val="3"/>
          <c:order val="3"/>
          <c:tx>
            <c:v>0.125 µg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0.09</c:v>
                </c:pt>
              </c:numLit>
            </c:plus>
            <c:minus>
              <c:numLit>
                <c:formatCode>General</c:formatCode>
                <c:ptCount val="1"/>
                <c:pt idx="0">
                  <c:v>0.09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SpikedFaecesgDNA!$A$6</c:f>
              <c:strCache>
                <c:ptCount val="1"/>
                <c:pt idx="0">
                  <c:v>1/50</c:v>
                </c:pt>
              </c:strCache>
              <c:extLst/>
            </c:strRef>
          </c:cat>
          <c:val>
            <c:numRef>
              <c:f>SpikedFaecesgDNA!$H$6</c:f>
              <c:numCache>
                <c:formatCode>0.00</c:formatCode>
                <c:ptCount val="1"/>
                <c:pt idx="0">
                  <c:v>11.46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3-2D9D-4912-A04F-E279A5C2A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023647"/>
        <c:axId val="1032026143"/>
      </c:barChart>
      <c:catAx>
        <c:axId val="103202364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Starting</a:t>
                </a:r>
                <a:r>
                  <a:rPr lang="en-AU" baseline="0"/>
                  <a:t> DNA quantity and dilution factor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2026143"/>
        <c:crossesAt val="0"/>
        <c:auto val="1"/>
        <c:lblAlgn val="ctr"/>
        <c:lblOffset val="100"/>
        <c:noMultiLvlLbl val="0"/>
      </c:catAx>
      <c:valAx>
        <c:axId val="1032026143"/>
        <c:scaling>
          <c:orientation val="minMax"/>
          <c:max val="18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Average Tp</a:t>
                </a:r>
                <a:r>
                  <a:rPr lang="en-AU" baseline="0"/>
                  <a:t> (mm:ss)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202364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457200</xdr:colOff>
      <xdr:row>11</xdr:row>
      <xdr:rowOff>85725</xdr:rowOff>
    </xdr:from>
    <xdr:to>
      <xdr:col>21</xdr:col>
      <xdr:colOff>600285</xdr:colOff>
      <xdr:row>34</xdr:row>
      <xdr:rowOff>95863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D0539E-FC82-4097-A3D1-CE7A9EA43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92100" y="2181225"/>
          <a:ext cx="1505160" cy="4391638"/>
        </a:xfrm>
        <a:prstGeom prst="rect">
          <a:avLst/>
        </a:prstGeom>
      </xdr:spPr>
    </xdr:pic>
    <xdr:clientData/>
  </xdr:twoCellAnchor>
  <xdr:twoCellAnchor editAs="oneCell">
    <xdr:from>
      <xdr:col>21</xdr:col>
      <xdr:colOff>409575</xdr:colOff>
      <xdr:row>11</xdr:row>
      <xdr:rowOff>74839</xdr:rowOff>
    </xdr:from>
    <xdr:to>
      <xdr:col>24</xdr:col>
      <xdr:colOff>152649</xdr:colOff>
      <xdr:row>34</xdr:row>
      <xdr:rowOff>123082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1769210-88FB-4D78-864B-455F5A75C2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06550" y="2170339"/>
          <a:ext cx="1781424" cy="4429743"/>
        </a:xfrm>
        <a:prstGeom prst="rect">
          <a:avLst/>
        </a:prstGeom>
      </xdr:spPr>
    </xdr:pic>
    <xdr:clientData/>
  </xdr:twoCellAnchor>
  <xdr:twoCellAnchor editAs="oneCell">
    <xdr:from>
      <xdr:col>24</xdr:col>
      <xdr:colOff>200025</xdr:colOff>
      <xdr:row>14</xdr:row>
      <xdr:rowOff>9525</xdr:rowOff>
    </xdr:from>
    <xdr:to>
      <xdr:col>25</xdr:col>
      <xdr:colOff>457336</xdr:colOff>
      <xdr:row>34</xdr:row>
      <xdr:rowOff>114846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89A681F-60DD-48F7-8B91-223852D4E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135350" y="2676525"/>
          <a:ext cx="971686" cy="3915321"/>
        </a:xfrm>
        <a:prstGeom prst="rect">
          <a:avLst/>
        </a:prstGeom>
      </xdr:spPr>
    </xdr:pic>
    <xdr:clientData/>
  </xdr:twoCellAnchor>
  <xdr:twoCellAnchor editAs="oneCell">
    <xdr:from>
      <xdr:col>24</xdr:col>
      <xdr:colOff>161925</xdr:colOff>
      <xdr:row>12</xdr:row>
      <xdr:rowOff>104775</xdr:rowOff>
    </xdr:from>
    <xdr:to>
      <xdr:col>25</xdr:col>
      <xdr:colOff>409575</xdr:colOff>
      <xdr:row>14</xdr:row>
      <xdr:rowOff>38144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E43B00B-5342-4E75-983F-F66838C26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097250" y="2390775"/>
          <a:ext cx="962025" cy="314369"/>
        </a:xfrm>
        <a:prstGeom prst="rect">
          <a:avLst/>
        </a:prstGeom>
      </xdr:spPr>
    </xdr:pic>
    <xdr:clientData/>
  </xdr:twoCellAnchor>
  <xdr:twoCellAnchor editAs="oneCell">
    <xdr:from>
      <xdr:col>25</xdr:col>
      <xdr:colOff>428625</xdr:colOff>
      <xdr:row>13</xdr:row>
      <xdr:rowOff>161925</xdr:rowOff>
    </xdr:from>
    <xdr:to>
      <xdr:col>27</xdr:col>
      <xdr:colOff>390704</xdr:colOff>
      <xdr:row>33</xdr:row>
      <xdr:rowOff>133878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9F33DB0-EDAE-43A1-AB9B-798E067DB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7078325" y="2638425"/>
          <a:ext cx="1286054" cy="3781953"/>
        </a:xfrm>
        <a:prstGeom prst="rect">
          <a:avLst/>
        </a:prstGeom>
      </xdr:spPr>
    </xdr:pic>
    <xdr:clientData/>
  </xdr:twoCellAnchor>
  <xdr:twoCellAnchor editAs="oneCell">
    <xdr:from>
      <xdr:col>25</xdr:col>
      <xdr:colOff>409576</xdr:colOff>
      <xdr:row>12</xdr:row>
      <xdr:rowOff>9525</xdr:rowOff>
    </xdr:from>
    <xdr:to>
      <xdr:col>27</xdr:col>
      <xdr:colOff>228601</xdr:colOff>
      <xdr:row>14</xdr:row>
      <xdr:rowOff>85789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84847B3-9255-4264-AB39-ADB6AC57A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059276" y="2295525"/>
          <a:ext cx="1143000" cy="457264"/>
        </a:xfrm>
        <a:prstGeom prst="rect">
          <a:avLst/>
        </a:prstGeom>
      </xdr:spPr>
    </xdr:pic>
    <xdr:clientData/>
  </xdr:twoCellAnchor>
  <xdr:twoCellAnchor editAs="oneCell">
    <xdr:from>
      <xdr:col>27</xdr:col>
      <xdr:colOff>276225</xdr:colOff>
      <xdr:row>13</xdr:row>
      <xdr:rowOff>152400</xdr:rowOff>
    </xdr:from>
    <xdr:to>
      <xdr:col>29</xdr:col>
      <xdr:colOff>133529</xdr:colOff>
      <xdr:row>33</xdr:row>
      <xdr:rowOff>181511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A4FDC2B-63E7-45FF-B753-C128C4F2A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8249900" y="2628900"/>
          <a:ext cx="1286054" cy="3839111"/>
        </a:xfrm>
        <a:prstGeom prst="rect">
          <a:avLst/>
        </a:prstGeom>
      </xdr:spPr>
    </xdr:pic>
    <xdr:clientData/>
  </xdr:twoCellAnchor>
  <xdr:twoCellAnchor editAs="oneCell">
    <xdr:from>
      <xdr:col>27</xdr:col>
      <xdr:colOff>180975</xdr:colOff>
      <xdr:row>12</xdr:row>
      <xdr:rowOff>38100</xdr:rowOff>
    </xdr:from>
    <xdr:to>
      <xdr:col>29</xdr:col>
      <xdr:colOff>114300</xdr:colOff>
      <xdr:row>13</xdr:row>
      <xdr:rowOff>142916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ECB3E3F-F4BD-408F-AFB0-CCC2960AE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8154650" y="2324100"/>
          <a:ext cx="1362075" cy="295316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13</xdr:row>
      <xdr:rowOff>161925</xdr:rowOff>
    </xdr:from>
    <xdr:to>
      <xdr:col>30</xdr:col>
      <xdr:colOff>543095</xdr:colOff>
      <xdr:row>34</xdr:row>
      <xdr:rowOff>19588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9EA9865-7C5C-44E5-8DAA-B347C796D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9440525" y="2638425"/>
          <a:ext cx="1219370" cy="3858163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95250</xdr:colOff>
      <xdr:row>12</xdr:row>
      <xdr:rowOff>180975</xdr:rowOff>
    </xdr:from>
    <xdr:to>
      <xdr:col>30</xdr:col>
      <xdr:colOff>709175</xdr:colOff>
      <xdr:row>13</xdr:row>
      <xdr:rowOff>142903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CA5D89A3-C319-478F-BDA1-193A72A2E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9497675" y="2466975"/>
          <a:ext cx="1328300" cy="152428"/>
        </a:xfrm>
        <a:prstGeom prst="rect">
          <a:avLst/>
        </a:prstGeom>
      </xdr:spPr>
    </xdr:pic>
    <xdr:clientData/>
  </xdr:twoCellAnchor>
  <xdr:twoCellAnchor editAs="oneCell">
    <xdr:from>
      <xdr:col>30</xdr:col>
      <xdr:colOff>390525</xdr:colOff>
      <xdr:row>13</xdr:row>
      <xdr:rowOff>57150</xdr:rowOff>
    </xdr:from>
    <xdr:to>
      <xdr:col>31</xdr:col>
      <xdr:colOff>533520</xdr:colOff>
      <xdr:row>34</xdr:row>
      <xdr:rowOff>57708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E96F033-A9A4-49C6-BAF6-82C821FCF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0507325" y="2533650"/>
          <a:ext cx="857370" cy="4001058"/>
        </a:xfrm>
        <a:prstGeom prst="rect">
          <a:avLst/>
        </a:prstGeom>
      </xdr:spPr>
    </xdr:pic>
    <xdr:clientData/>
  </xdr:twoCellAnchor>
  <xdr:twoCellAnchor editAs="oneCell">
    <xdr:from>
      <xdr:col>30</xdr:col>
      <xdr:colOff>95251</xdr:colOff>
      <xdr:row>11</xdr:row>
      <xdr:rowOff>133707</xdr:rowOff>
    </xdr:from>
    <xdr:to>
      <xdr:col>31</xdr:col>
      <xdr:colOff>581026</xdr:colOff>
      <xdr:row>12</xdr:row>
      <xdr:rowOff>171497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64B6B5A2-6A69-4318-9380-9FDE54D93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0212051" y="2229207"/>
          <a:ext cx="1200150" cy="228290"/>
        </a:xfrm>
        <a:prstGeom prst="rect">
          <a:avLst/>
        </a:prstGeom>
      </xdr:spPr>
    </xdr:pic>
    <xdr:clientData/>
  </xdr:twoCellAnchor>
  <xdr:twoCellAnchor editAs="oneCell">
    <xdr:from>
      <xdr:col>31</xdr:col>
      <xdr:colOff>514350</xdr:colOff>
      <xdr:row>11</xdr:row>
      <xdr:rowOff>28575</xdr:rowOff>
    </xdr:from>
    <xdr:to>
      <xdr:col>34</xdr:col>
      <xdr:colOff>66897</xdr:colOff>
      <xdr:row>34</xdr:row>
      <xdr:rowOff>67292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2117D787-DDD7-460A-940C-916C0C874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1345525" y="2124075"/>
          <a:ext cx="1590897" cy="4420217"/>
        </a:xfrm>
        <a:prstGeom prst="rect">
          <a:avLst/>
        </a:prstGeom>
      </xdr:spPr>
    </xdr:pic>
    <xdr:clientData/>
  </xdr:twoCellAnchor>
  <xdr:twoCellAnchor editAs="oneCell">
    <xdr:from>
      <xdr:col>33</xdr:col>
      <xdr:colOff>523875</xdr:colOff>
      <xdr:row>11</xdr:row>
      <xdr:rowOff>57150</xdr:rowOff>
    </xdr:from>
    <xdr:to>
      <xdr:col>36</xdr:col>
      <xdr:colOff>362183</xdr:colOff>
      <xdr:row>34</xdr:row>
      <xdr:rowOff>57762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FABDF4C7-6338-46D4-B886-6CEBAE1F5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2783800" y="2152650"/>
          <a:ext cx="1667108" cy="4382112"/>
        </a:xfrm>
        <a:prstGeom prst="rect">
          <a:avLst/>
        </a:prstGeom>
      </xdr:spPr>
    </xdr:pic>
    <xdr:clientData/>
  </xdr:twoCellAnchor>
  <xdr:twoCellAnchor editAs="oneCell">
    <xdr:from>
      <xdr:col>36</xdr:col>
      <xdr:colOff>228600</xdr:colOff>
      <xdr:row>10</xdr:row>
      <xdr:rowOff>142875</xdr:rowOff>
    </xdr:from>
    <xdr:to>
      <xdr:col>39</xdr:col>
      <xdr:colOff>305066</xdr:colOff>
      <xdr:row>33</xdr:row>
      <xdr:rowOff>86329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9120F91A-BB36-458E-9A65-CE99E013F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4317325" y="2047875"/>
          <a:ext cx="1905266" cy="43249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40687</xdr:colOff>
      <xdr:row>1</xdr:row>
      <xdr:rowOff>77214</xdr:rowOff>
    </xdr:from>
    <xdr:to>
      <xdr:col>27</xdr:col>
      <xdr:colOff>33142</xdr:colOff>
      <xdr:row>27</xdr:row>
      <xdr:rowOff>20716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A17863-54B3-4273-98B6-D07BF8102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0057" y="267714"/>
          <a:ext cx="9186150" cy="48965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136750</xdr:colOff>
      <xdr:row>0</xdr:row>
      <xdr:rowOff>476250</xdr:rowOff>
    </xdr:from>
    <xdr:to>
      <xdr:col>30</xdr:col>
      <xdr:colOff>217715</xdr:colOff>
      <xdr:row>12</xdr:row>
      <xdr:rowOff>81642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15</xdr:row>
      <xdr:rowOff>134711</xdr:rowOff>
    </xdr:from>
    <xdr:to>
      <xdr:col>11</xdr:col>
      <xdr:colOff>49666</xdr:colOff>
      <xdr:row>38</xdr:row>
      <xdr:rowOff>25174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224518</xdr:colOff>
      <xdr:row>20</xdr:row>
      <xdr:rowOff>95250</xdr:rowOff>
    </xdr:from>
    <xdr:to>
      <xdr:col>33</xdr:col>
      <xdr:colOff>603477</xdr:colOff>
      <xdr:row>42</xdr:row>
      <xdr:rowOff>176213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544287</xdr:colOff>
      <xdr:row>14</xdr:row>
      <xdr:rowOff>81643</xdr:rowOff>
    </xdr:from>
    <xdr:to>
      <xdr:col>21</xdr:col>
      <xdr:colOff>310924</xdr:colOff>
      <xdr:row>36</xdr:row>
      <xdr:rowOff>162606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27214</xdr:colOff>
      <xdr:row>17</xdr:row>
      <xdr:rowOff>0</xdr:rowOff>
    </xdr:from>
    <xdr:to>
      <xdr:col>43</xdr:col>
      <xdr:colOff>406173</xdr:colOff>
      <xdr:row>39</xdr:row>
      <xdr:rowOff>80963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81700</xdr:colOff>
      <xdr:row>5</xdr:row>
      <xdr:rowOff>137141</xdr:rowOff>
    </xdr:from>
    <xdr:to>
      <xdr:col>17</xdr:col>
      <xdr:colOff>348445</xdr:colOff>
      <xdr:row>7</xdr:row>
      <xdr:rowOff>33140</xdr:rowOff>
    </xdr:to>
    <xdr:sp macro="" textlink="">
      <xdr:nvSpPr>
        <xdr:cNvPr id="2" name="TextBox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444900" y="1089641"/>
          <a:ext cx="266745" cy="276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AU" b="0" i="0" baseline="-25000">
              <a:effectLst/>
              <a:latin typeface="arial" panose="020B0604020202020204" pitchFamily="34" charset="0"/>
            </a:rPr>
            <a:t>†</a:t>
          </a:r>
          <a:endParaRPr lang="en-AU" baseline="-25000"/>
        </a:p>
      </xdr:txBody>
    </xdr:sp>
    <xdr:clientData/>
  </xdr:twoCellAnchor>
  <xdr:twoCellAnchor>
    <xdr:from>
      <xdr:col>6</xdr:col>
      <xdr:colOff>45217</xdr:colOff>
      <xdr:row>3</xdr:row>
      <xdr:rowOff>46685</xdr:rowOff>
    </xdr:from>
    <xdr:to>
      <xdr:col>6</xdr:col>
      <xdr:colOff>311962</xdr:colOff>
      <xdr:row>4</xdr:row>
      <xdr:rowOff>133184</xdr:rowOff>
    </xdr:to>
    <xdr:sp macro="" textlink="">
      <xdr:nvSpPr>
        <xdr:cNvPr id="3" name="TextBox 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702817" y="618185"/>
          <a:ext cx="266745" cy="276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AU" b="0" i="0" baseline="-25000">
              <a:effectLst/>
              <a:latin typeface="arial" panose="020B0604020202020204" pitchFamily="34" charset="0"/>
            </a:rPr>
            <a:t>†</a:t>
          </a:r>
          <a:endParaRPr lang="en-AU" baseline="-25000"/>
        </a:p>
      </xdr:txBody>
    </xdr:sp>
    <xdr:clientData/>
  </xdr:twoCellAnchor>
  <xdr:twoCellAnchor>
    <xdr:from>
      <xdr:col>11</xdr:col>
      <xdr:colOff>364158</xdr:colOff>
      <xdr:row>5</xdr:row>
      <xdr:rowOff>32124</xdr:rowOff>
    </xdr:from>
    <xdr:to>
      <xdr:col>12</xdr:col>
      <xdr:colOff>21303</xdr:colOff>
      <xdr:row>6</xdr:row>
      <xdr:rowOff>118623</xdr:rowOff>
    </xdr:to>
    <xdr:sp macro="" textlink="">
      <xdr:nvSpPr>
        <xdr:cNvPr id="4" name="TextBox 1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069758" y="984624"/>
          <a:ext cx="266745" cy="276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AU" b="0" i="0" baseline="-25000">
              <a:effectLst/>
              <a:latin typeface="arial" panose="020B0604020202020204" pitchFamily="34" charset="0"/>
            </a:rPr>
            <a:t>†</a:t>
          </a:r>
          <a:endParaRPr lang="en-AU" baseline="-25000"/>
        </a:p>
      </xdr:txBody>
    </xdr:sp>
    <xdr:clientData/>
  </xdr:twoCellAnchor>
  <xdr:twoCellAnchor>
    <xdr:from>
      <xdr:col>6</xdr:col>
      <xdr:colOff>396805</xdr:colOff>
      <xdr:row>2</xdr:row>
      <xdr:rowOff>99767</xdr:rowOff>
    </xdr:from>
    <xdr:to>
      <xdr:col>12</xdr:col>
      <xdr:colOff>518476</xdr:colOff>
      <xdr:row>13</xdr:row>
      <xdr:rowOff>115871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054405" y="480767"/>
          <a:ext cx="3779271" cy="2111604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AU"/>
        </a:p>
      </xdr:txBody>
    </xdr:sp>
    <xdr:clientData/>
  </xdr:twoCellAnchor>
  <xdr:twoCellAnchor>
    <xdr:from>
      <xdr:col>13</xdr:col>
      <xdr:colOff>62649</xdr:colOff>
      <xdr:row>24</xdr:row>
      <xdr:rowOff>64730</xdr:rowOff>
    </xdr:from>
    <xdr:to>
      <xdr:col>13</xdr:col>
      <xdr:colOff>329394</xdr:colOff>
      <xdr:row>25</xdr:row>
      <xdr:rowOff>151229</xdr:rowOff>
    </xdr:to>
    <xdr:sp macro="" textlink="">
      <xdr:nvSpPr>
        <xdr:cNvPr id="6" name="TextBox 1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987449" y="4636730"/>
          <a:ext cx="266745" cy="276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AU" b="0" i="0" baseline="-25000">
              <a:effectLst/>
              <a:latin typeface="arial" panose="020B0604020202020204" pitchFamily="34" charset="0"/>
            </a:rPr>
            <a:t>†</a:t>
          </a:r>
          <a:endParaRPr lang="en-AU" baseline="-250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446202</xdr:colOff>
      <xdr:row>21</xdr:row>
      <xdr:rowOff>24746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200680</xdr:colOff>
      <xdr:row>23</xdr:row>
      <xdr:rowOff>170026</xdr:rowOff>
    </xdr:from>
    <xdr:to>
      <xdr:col>5</xdr:col>
      <xdr:colOff>218421</xdr:colOff>
      <xdr:row>36</xdr:row>
      <xdr:rowOff>151598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554451</xdr:colOff>
      <xdr:row>23</xdr:row>
      <xdr:rowOff>170026</xdr:rowOff>
    </xdr:from>
    <xdr:to>
      <xdr:col>14</xdr:col>
      <xdr:colOff>573475</xdr:colOff>
      <xdr:row>36</xdr:row>
      <xdr:rowOff>151598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72124</xdr:colOff>
      <xdr:row>23</xdr:row>
      <xdr:rowOff>170026</xdr:rowOff>
    </xdr:from>
    <xdr:to>
      <xdr:col>10</xdr:col>
      <xdr:colOff>91148</xdr:colOff>
      <xdr:row>36</xdr:row>
      <xdr:rowOff>151598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427178</xdr:colOff>
      <xdr:row>23</xdr:row>
      <xdr:rowOff>170026</xdr:rowOff>
    </xdr:from>
    <xdr:to>
      <xdr:col>19</xdr:col>
      <xdr:colOff>446202</xdr:colOff>
      <xdr:row>36</xdr:row>
      <xdr:rowOff>151598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450605</xdr:colOff>
      <xdr:row>10</xdr:row>
      <xdr:rowOff>5861</xdr:rowOff>
    </xdr:from>
    <xdr:to>
      <xdr:col>16</xdr:col>
      <xdr:colOff>157528</xdr:colOff>
      <xdr:row>24</xdr:row>
      <xdr:rowOff>82061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D6860C9-A508-4B8E-9890-995B4D0EA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212482</xdr:colOff>
      <xdr:row>10</xdr:row>
      <xdr:rowOff>21980</xdr:rowOff>
    </xdr:from>
    <xdr:to>
      <xdr:col>23</xdr:col>
      <xdr:colOff>527540</xdr:colOff>
      <xdr:row>24</xdr:row>
      <xdr:rowOff>98180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88B2E8BB-9DCF-44A3-99C4-642400521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523875</xdr:colOff>
      <xdr:row>33</xdr:row>
      <xdr:rowOff>90487</xdr:rowOff>
    </xdr:from>
    <xdr:to>
      <xdr:col>14</xdr:col>
      <xdr:colOff>219075</xdr:colOff>
      <xdr:row>47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91473C-A9FC-456F-80AF-2A8832A42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MP%20runs/Fhegg%20extraction%20method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rFlu\AppData\Roaming\Microsoft\Excel\URL\LAMP%20runs\Fhegg%20extraction%20method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qPCR%20runs/2020%20qBov3%20standards%20spread_ed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gs"/>
      <sheetName val="Water"/>
      <sheetName val="EPG Quant"/>
    </sheetNames>
    <sheetDataSet>
      <sheetData sheetId="0">
        <row r="20">
          <cell r="B20" t="str">
            <v>Chelex</v>
          </cell>
          <cell r="C20" t="str">
            <v>GP</v>
          </cell>
          <cell r="D20" t="str">
            <v>TL</v>
          </cell>
          <cell r="E20" t="str">
            <v>SET</v>
          </cell>
          <cell r="F20" t="str">
            <v>EB</v>
          </cell>
          <cell r="G20" t="str">
            <v>AL</v>
          </cell>
        </row>
        <row r="22">
          <cell r="B22" t="e">
            <v>#DIV/0!</v>
          </cell>
          <cell r="C22">
            <v>17.3</v>
          </cell>
          <cell r="D22" t="e">
            <v>#DIV/0!</v>
          </cell>
          <cell r="E22" t="e">
            <v>#DIV/0!</v>
          </cell>
          <cell r="F22" t="e">
            <v>#DIV/0!</v>
          </cell>
          <cell r="G22" t="e">
            <v>#DIV/0!</v>
          </cell>
        </row>
        <row r="23">
          <cell r="B23" t="e">
            <v>#DIV/0!</v>
          </cell>
          <cell r="C23" t="e">
            <v>#DIV/0!</v>
          </cell>
          <cell r="D23" t="e">
            <v>#DIV/0!</v>
          </cell>
          <cell r="E23" t="e">
            <v>#DIV/0!</v>
          </cell>
          <cell r="F23" t="e">
            <v>#DIV/0!</v>
          </cell>
          <cell r="G23" t="e">
            <v>#DIV/0!</v>
          </cell>
        </row>
        <row r="24">
          <cell r="B24" t="e">
            <v>#DIV/0!</v>
          </cell>
          <cell r="C24">
            <v>15.225</v>
          </cell>
          <cell r="D24" t="e">
            <v>#DIV/0!</v>
          </cell>
          <cell r="E24">
            <v>15</v>
          </cell>
          <cell r="F24" t="e">
            <v>#DIV/0!</v>
          </cell>
          <cell r="G24" t="e">
            <v>#DIV/0!</v>
          </cell>
        </row>
        <row r="25">
          <cell r="B25">
            <v>17.3</v>
          </cell>
          <cell r="C25">
            <v>18.3</v>
          </cell>
          <cell r="D25">
            <v>12.225</v>
          </cell>
          <cell r="E25">
            <v>15.574999999999999</v>
          </cell>
          <cell r="F25" t="e">
            <v>#DIV/0!</v>
          </cell>
          <cell r="G25" t="e">
            <v>#DIV/0!</v>
          </cell>
        </row>
        <row r="26">
          <cell r="B26" t="e">
            <v>#DIV/0!</v>
          </cell>
          <cell r="C26">
            <v>15</v>
          </cell>
          <cell r="D26">
            <v>14.875</v>
          </cell>
          <cell r="E26">
            <v>13.725000000000001</v>
          </cell>
          <cell r="F26" t="e">
            <v>#DIV/0!</v>
          </cell>
          <cell r="G26" t="e">
            <v>#DIV/0!</v>
          </cell>
        </row>
        <row r="30">
          <cell r="B30" t="e">
            <v>#DIV/0!</v>
          </cell>
          <cell r="C30" t="e">
            <v>#DIV/0!</v>
          </cell>
          <cell r="D30" t="e">
            <v>#DIV/0!</v>
          </cell>
          <cell r="E30" t="e">
            <v>#DIV/0!</v>
          </cell>
          <cell r="F30" t="e">
            <v>#DIV/0!</v>
          </cell>
          <cell r="G30" t="e">
            <v>#DIV/0!</v>
          </cell>
        </row>
        <row r="32">
          <cell r="B32" t="e">
            <v>#DIV/0!</v>
          </cell>
          <cell r="C32">
            <v>1.3081475451951114</v>
          </cell>
          <cell r="D32" t="e">
            <v>#DIV/0!</v>
          </cell>
          <cell r="E32" t="e">
            <v>#DIV/0!</v>
          </cell>
          <cell r="F32" t="e">
            <v>#DIV/0!</v>
          </cell>
          <cell r="G32" t="e">
            <v>#DIV/0!</v>
          </cell>
        </row>
        <row r="33">
          <cell r="B33" t="e">
            <v>#DIV/0!</v>
          </cell>
          <cell r="C33" t="e">
            <v>#DIV/0!</v>
          </cell>
          <cell r="D33">
            <v>1.0960155108391492</v>
          </cell>
          <cell r="E33">
            <v>0.6010407640085651</v>
          </cell>
          <cell r="F33" t="e">
            <v>#DIV/0!</v>
          </cell>
          <cell r="G33" t="e">
            <v>#DIV/0!</v>
          </cell>
        </row>
        <row r="34">
          <cell r="B34" t="e">
            <v>#DIV/0!</v>
          </cell>
          <cell r="C34" t="e">
            <v>#DIV/0!</v>
          </cell>
          <cell r="D34">
            <v>0.8131727983645286</v>
          </cell>
          <cell r="E34">
            <v>0.6010407640085651</v>
          </cell>
          <cell r="F34" t="e">
            <v>#DIV/0!</v>
          </cell>
          <cell r="G34" t="e">
            <v>#DIV/0!</v>
          </cell>
        </row>
      </sheetData>
      <sheetData sheetId="1">
        <row r="12">
          <cell r="N12">
            <v>15.3</v>
          </cell>
          <cell r="O12">
            <v>3.0405591591021457</v>
          </cell>
        </row>
        <row r="13">
          <cell r="N13">
            <v>17.574999999999999</v>
          </cell>
          <cell r="O13">
            <v>5.0558134854838235</v>
          </cell>
        </row>
        <row r="14">
          <cell r="N14">
            <v>17</v>
          </cell>
          <cell r="O14">
            <v>1.4142135623730951</v>
          </cell>
        </row>
        <row r="15">
          <cell r="N15">
            <v>0</v>
          </cell>
          <cell r="O15">
            <v>0</v>
          </cell>
        </row>
        <row r="29">
          <cell r="D29" t="str">
            <v>1 µg</v>
          </cell>
          <cell r="E29">
            <v>12.975</v>
          </cell>
          <cell r="F29">
            <v>2.1065374432940986</v>
          </cell>
        </row>
        <row r="30">
          <cell r="D30" t="str">
            <v>0.5 µg</v>
          </cell>
          <cell r="E30">
            <v>13.8</v>
          </cell>
          <cell r="F30">
            <v>1.7972200755611374</v>
          </cell>
        </row>
        <row r="31">
          <cell r="D31" t="str">
            <v>0.25 µg</v>
          </cell>
          <cell r="E31">
            <v>13.725</v>
          </cell>
          <cell r="F31">
            <v>1.7514279888136981</v>
          </cell>
        </row>
        <row r="32">
          <cell r="D32" t="str">
            <v>0.125 µg</v>
          </cell>
          <cell r="E32">
            <v>14.225</v>
          </cell>
          <cell r="F32">
            <v>4.208028041731664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g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MP PCR (2)"/>
      <sheetName val="LAMP gDNA"/>
      <sheetName val="qPCR"/>
      <sheetName val="LAMP PCR"/>
      <sheetName val="excluded runs"/>
    </sheetNames>
    <sheetDataSet>
      <sheetData sheetId="0"/>
      <sheetData sheetId="1"/>
      <sheetData sheetId="2">
        <row r="1">
          <cell r="C1" t="str">
            <v>A</v>
          </cell>
          <cell r="D1" t="str">
            <v>B</v>
          </cell>
          <cell r="E1" t="str">
            <v>C</v>
          </cell>
          <cell r="F1" t="str">
            <v>D</v>
          </cell>
          <cell r="G1" t="str">
            <v>E</v>
          </cell>
          <cell r="H1" t="str">
            <v>F</v>
          </cell>
          <cell r="I1" t="str">
            <v>G</v>
          </cell>
          <cell r="J1" t="str">
            <v>H</v>
          </cell>
          <cell r="K1" t="str">
            <v>I</v>
          </cell>
          <cell r="L1" t="str">
            <v>J</v>
          </cell>
          <cell r="M1" t="str">
            <v>K</v>
          </cell>
          <cell r="N1" t="str">
            <v>L</v>
          </cell>
          <cell r="Q1"/>
          <cell r="R1"/>
          <cell r="S1"/>
          <cell r="T1"/>
          <cell r="U1"/>
          <cell r="W1"/>
          <cell r="X1"/>
          <cell r="Y1"/>
          <cell r="Z1"/>
          <cell r="AB1"/>
          <cell r="AC1"/>
          <cell r="AD1"/>
          <cell r="AE1"/>
          <cell r="AF1"/>
          <cell r="AG1"/>
        </row>
        <row r="2">
          <cell r="B2">
            <v>5.0000000000000003E-10</v>
          </cell>
          <cell r="C2">
            <v>30.08</v>
          </cell>
          <cell r="D2">
            <v>29.74</v>
          </cell>
          <cell r="E2">
            <v>30.03</v>
          </cell>
          <cell r="F2">
            <v>30.14</v>
          </cell>
          <cell r="G2">
            <v>30.52</v>
          </cell>
          <cell r="H2">
            <v>30.64</v>
          </cell>
          <cell r="I2">
            <v>29.89</v>
          </cell>
          <cell r="J2">
            <v>30.78</v>
          </cell>
          <cell r="K2">
            <v>21.72</v>
          </cell>
          <cell r="L2">
            <v>30.18</v>
          </cell>
          <cell r="M2">
            <v>30.61</v>
          </cell>
          <cell r="N2">
            <v>29.55</v>
          </cell>
        </row>
        <row r="3">
          <cell r="B3">
            <v>5.0000000000000001E-9</v>
          </cell>
          <cell r="C3">
            <v>27.54</v>
          </cell>
          <cell r="D3">
            <v>28.13</v>
          </cell>
          <cell r="E3">
            <v>28.48</v>
          </cell>
          <cell r="F3">
            <v>28.91</v>
          </cell>
          <cell r="G3">
            <v>28.71</v>
          </cell>
          <cell r="H3">
            <v>28.54</v>
          </cell>
          <cell r="I3">
            <v>28.3</v>
          </cell>
          <cell r="J3">
            <v>28.62</v>
          </cell>
          <cell r="K3">
            <v>29.01</v>
          </cell>
          <cell r="L3">
            <v>22.76</v>
          </cell>
          <cell r="M3">
            <v>27.69</v>
          </cell>
          <cell r="N3">
            <v>26.61</v>
          </cell>
        </row>
        <row r="4">
          <cell r="B4">
            <v>4.9999999999999998E-8</v>
          </cell>
          <cell r="C4">
            <v>24.52</v>
          </cell>
          <cell r="D4">
            <v>24.73</v>
          </cell>
          <cell r="E4">
            <v>25.18</v>
          </cell>
          <cell r="F4">
            <v>25.09</v>
          </cell>
          <cell r="G4">
            <v>25.41</v>
          </cell>
          <cell r="H4">
            <v>25.31</v>
          </cell>
          <cell r="I4">
            <v>25.32</v>
          </cell>
          <cell r="J4">
            <v>25.61</v>
          </cell>
          <cell r="K4">
            <v>25.5</v>
          </cell>
          <cell r="L4">
            <v>23.52</v>
          </cell>
          <cell r="M4">
            <v>25.04</v>
          </cell>
          <cell r="N4">
            <v>24.04</v>
          </cell>
        </row>
        <row r="5">
          <cell r="B5">
            <v>4.9999999999999998E-7</v>
          </cell>
          <cell r="C5">
            <v>21.46</v>
          </cell>
          <cell r="D5">
            <v>21.84</v>
          </cell>
          <cell r="E5">
            <v>22.27</v>
          </cell>
          <cell r="F5">
            <v>22.11</v>
          </cell>
          <cell r="G5">
            <v>22.37</v>
          </cell>
          <cell r="H5">
            <v>22.27</v>
          </cell>
          <cell r="I5">
            <v>22.17</v>
          </cell>
          <cell r="J5">
            <v>22.56</v>
          </cell>
          <cell r="K5">
            <v>22.41</v>
          </cell>
          <cell r="L5">
            <v>21.08</v>
          </cell>
          <cell r="M5">
            <v>21.4</v>
          </cell>
          <cell r="N5">
            <v>21.23</v>
          </cell>
        </row>
        <row r="6">
          <cell r="B6">
            <v>5.0000000000000004E-6</v>
          </cell>
          <cell r="C6">
            <v>18.329999999999998</v>
          </cell>
          <cell r="D6">
            <v>18.77</v>
          </cell>
          <cell r="E6">
            <v>19.22</v>
          </cell>
          <cell r="F6">
            <v>19.52</v>
          </cell>
          <cell r="G6">
            <v>19.649999999999999</v>
          </cell>
          <cell r="H6">
            <v>19.59</v>
          </cell>
          <cell r="I6">
            <v>19.46</v>
          </cell>
          <cell r="J6">
            <v>19.66</v>
          </cell>
          <cell r="K6">
            <v>19.54</v>
          </cell>
          <cell r="L6">
            <v>18.57</v>
          </cell>
          <cell r="M6">
            <v>19.13</v>
          </cell>
          <cell r="N6">
            <v>18.05</v>
          </cell>
        </row>
        <row r="7">
          <cell r="B7">
            <v>5.0000000000000002E-5</v>
          </cell>
          <cell r="C7">
            <v>15.42</v>
          </cell>
          <cell r="D7">
            <v>15.47</v>
          </cell>
          <cell r="E7">
            <v>16</v>
          </cell>
          <cell r="F7">
            <v>15.88</v>
          </cell>
          <cell r="G7">
            <v>16.309999999999999</v>
          </cell>
          <cell r="H7">
            <v>16.09</v>
          </cell>
          <cell r="I7">
            <v>16.440000000000001</v>
          </cell>
          <cell r="J7">
            <v>16.440000000000001</v>
          </cell>
          <cell r="K7">
            <v>16.489999999999998</v>
          </cell>
          <cell r="L7">
            <v>15.73</v>
          </cell>
          <cell r="M7">
            <v>16.579999999999998</v>
          </cell>
          <cell r="N7">
            <v>15.27</v>
          </cell>
        </row>
        <row r="8">
          <cell r="B8">
            <v>5.0000000000000001E-4</v>
          </cell>
          <cell r="C8">
            <v>11.83</v>
          </cell>
          <cell r="D8">
            <v>11.98</v>
          </cell>
          <cell r="E8">
            <v>12.5</v>
          </cell>
          <cell r="F8">
            <v>12.61</v>
          </cell>
          <cell r="G8">
            <v>12.82</v>
          </cell>
          <cell r="H8">
            <v>12.86</v>
          </cell>
          <cell r="I8">
            <v>12.59</v>
          </cell>
          <cell r="J8">
            <v>12.46</v>
          </cell>
          <cell r="K8">
            <v>12.52</v>
          </cell>
          <cell r="L8">
            <v>12.49</v>
          </cell>
          <cell r="M8">
            <v>13.23</v>
          </cell>
          <cell r="N8">
            <v>11.84</v>
          </cell>
        </row>
        <row r="9">
          <cell r="B9">
            <v>5.0000000000000001E-3</v>
          </cell>
          <cell r="C9">
            <v>8.67</v>
          </cell>
          <cell r="D9">
            <v>8.69</v>
          </cell>
          <cell r="E9">
            <v>9.33</v>
          </cell>
          <cell r="F9">
            <v>9.3699999999999992</v>
          </cell>
          <cell r="G9">
            <v>9.68</v>
          </cell>
          <cell r="H9">
            <v>9.6300000000000008</v>
          </cell>
          <cell r="I9">
            <v>9.39</v>
          </cell>
          <cell r="J9">
            <v>9.27</v>
          </cell>
          <cell r="K9">
            <v>9.31</v>
          </cell>
          <cell r="L9">
            <v>8.82</v>
          </cell>
          <cell r="M9">
            <v>9.24</v>
          </cell>
          <cell r="N9">
            <v>8.61</v>
          </cell>
        </row>
      </sheetData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39B69D-A0BE-4B70-9B03-0DA96D78FEA6}" name="Table13" displayName="Table13" ref="K8:O14" totalsRowShown="0" headerRowDxfId="53" dataDxfId="52" headerRowCellStyle="Normal" dataCellStyle="Normal">
  <autoFilter ref="K8:O14" xr:uid="{28533162-8D55-47EE-A81D-1B9708029A33}"/>
  <tableColumns count="5">
    <tableColumn id="1" xr3:uid="{81DC3B6A-BDA6-44FD-BFF9-47E5B6EA6B87}" name="Copies/µL" dataDxfId="3" dataCellStyle="Normal"/>
    <tableColumn id="2" xr3:uid="{A802AF81-0CCF-4130-9DAE-D9F6C3F01646}" name="Log " dataDxfId="2" dataCellStyle="Normal">
      <calculatedColumnFormula>LOG(K9)</calculatedColumnFormula>
    </tableColumn>
    <tableColumn id="3" xr3:uid="{07A2B6A3-4ACF-4F39-8157-48393E6659E7}" name="Average Cq" dataDxfId="0" dataCellStyle="Normal">
      <calculatedColumnFormula>AVERAGE(C1:O1)</calculatedColumnFormula>
    </tableColumn>
    <tableColumn id="4" xr3:uid="{C64535E3-4EDE-4E8A-AA04-F7B2FF396F85}" name="Cq stdev" dataDxfId="1" dataCellStyle="Normal">
      <calculatedColumnFormula>STDEV(C2:O2)/SQRT(4)</calculatedColumnFormula>
    </tableColumn>
    <tableColumn id="5" xr3:uid="{A05C24FF-62C8-47A2-B506-666C141FF213}" name="%CV" dataDxfId="4" dataCellStyle="Normal">
      <calculatedColumnFormula>N9/M9*100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A4D29-4BE1-47B9-9E3A-B6279AE48F6A}">
  <dimension ref="A1:AF49"/>
  <sheetViews>
    <sheetView zoomScale="85" zoomScaleNormal="85" workbookViewId="0">
      <selection activeCell="E14" sqref="E14"/>
    </sheetView>
  </sheetViews>
  <sheetFormatPr defaultRowHeight="15" x14ac:dyDescent="0.25"/>
  <cols>
    <col min="1" max="2" width="9.140625" style="8"/>
    <col min="3" max="3" width="10.7109375" style="8" bestFit="1" customWidth="1"/>
    <col min="4" max="4" width="9.140625" style="8"/>
    <col min="5" max="5" width="10.7109375" style="8" bestFit="1" customWidth="1"/>
    <col min="6" max="6" width="9.7109375" style="8" bestFit="1" customWidth="1"/>
    <col min="7" max="8" width="9.140625" style="8"/>
    <col min="9" max="9" width="9.7109375" style="8" bestFit="1" customWidth="1"/>
    <col min="10" max="12" width="10.7109375" style="8" bestFit="1" customWidth="1"/>
    <col min="13" max="14" width="9.140625" style="8"/>
    <col min="15" max="15" width="10.7109375" style="8" bestFit="1" customWidth="1"/>
    <col min="16" max="16" width="9.140625" style="8"/>
    <col min="17" max="17" width="9.7109375" style="8" bestFit="1" customWidth="1"/>
    <col min="18" max="19" width="10.7109375" style="8" bestFit="1" customWidth="1"/>
    <col min="20" max="20" width="9.7109375" style="8" bestFit="1" customWidth="1"/>
    <col min="21" max="21" width="10.7109375" style="8" bestFit="1" customWidth="1"/>
    <col min="22" max="22" width="9.140625" style="8"/>
    <col min="23" max="26" width="10.7109375" style="8" bestFit="1" customWidth="1"/>
    <col min="27" max="27" width="9.140625" style="8"/>
    <col min="28" max="33" width="10.7109375" style="8" bestFit="1" customWidth="1"/>
    <col min="34" max="16384" width="9.140625" style="8"/>
  </cols>
  <sheetData>
    <row r="1" spans="1:15" x14ac:dyDescent="0.25">
      <c r="A1" s="8" t="s">
        <v>69</v>
      </c>
      <c r="B1" s="8" t="s">
        <v>70</v>
      </c>
      <c r="C1" s="10">
        <v>281</v>
      </c>
      <c r="D1" s="10">
        <v>275</v>
      </c>
      <c r="E1" s="10">
        <v>8</v>
      </c>
      <c r="F1" s="10">
        <v>7</v>
      </c>
      <c r="G1" s="10">
        <v>6</v>
      </c>
      <c r="H1" s="10">
        <v>5</v>
      </c>
      <c r="I1" s="10">
        <v>4</v>
      </c>
      <c r="J1" s="10">
        <v>281</v>
      </c>
      <c r="K1" s="10">
        <v>277</v>
      </c>
      <c r="L1" s="10">
        <v>276</v>
      </c>
      <c r="M1" s="10"/>
      <c r="N1" s="10"/>
      <c r="O1" s="10"/>
    </row>
    <row r="2" spans="1:15" x14ac:dyDescent="0.25">
      <c r="A2" s="9">
        <f>AVERAGE(C2:AJ2)</f>
        <v>7.3199999999999985</v>
      </c>
      <c r="B2" s="8">
        <v>0</v>
      </c>
      <c r="C2" s="9">
        <f>AVERAGE(7.45, 7.3)</f>
        <v>7.375</v>
      </c>
      <c r="D2" s="9">
        <f>AVERAGE(8, 7.45)</f>
        <v>7.7249999999999996</v>
      </c>
      <c r="E2" s="9">
        <f>AVERAGE(7.3, 7.15)</f>
        <v>7.2249999999999996</v>
      </c>
      <c r="F2" s="9">
        <f>AVERAGE(7.3, 7.15)</f>
        <v>7.2249999999999996</v>
      </c>
      <c r="G2" s="9">
        <v>7.15</v>
      </c>
      <c r="H2" s="9">
        <f>AVERAGE(7.45, 7.3)</f>
        <v>7.375</v>
      </c>
      <c r="I2" s="9">
        <f>AVERAGE(7.3, 7.15)</f>
        <v>7.2249999999999996</v>
      </c>
      <c r="J2" s="9">
        <f>AVERAGE(7.45,7.3)</f>
        <v>7.375</v>
      </c>
      <c r="K2" s="9">
        <f>AVERAGE(7.3, 7.15)</f>
        <v>7.2249999999999996</v>
      </c>
      <c r="L2" s="9">
        <v>7.3</v>
      </c>
    </row>
    <row r="3" spans="1:15" x14ac:dyDescent="0.25">
      <c r="A3" s="9">
        <f>AVERAGE(C3:AJ3)</f>
        <v>8.3724999999999987</v>
      </c>
      <c r="B3" s="8">
        <v>-1</v>
      </c>
      <c r="C3" s="9">
        <f>AVERAGE(8.45,8.45)</f>
        <v>8.4499999999999993</v>
      </c>
      <c r="D3" s="9">
        <v>8.4499999999999993</v>
      </c>
      <c r="E3" s="9">
        <v>8.3000000000000007</v>
      </c>
      <c r="F3" s="9">
        <v>8.15</v>
      </c>
      <c r="G3" s="9">
        <v>8.15</v>
      </c>
      <c r="H3" s="9">
        <f>AVERAGE(8.45, 8.3)</f>
        <v>8.375</v>
      </c>
      <c r="I3" s="9">
        <f>AVERAGE(9.15, 8.45)</f>
        <v>8.8000000000000007</v>
      </c>
      <c r="J3" s="9">
        <v>8.4499999999999993</v>
      </c>
      <c r="K3" s="9">
        <f>AVERAGE(8.3, 8.15)</f>
        <v>8.2250000000000014</v>
      </c>
      <c r="L3" s="9">
        <f>AVERAGE(8.3, 8.45)</f>
        <v>8.375</v>
      </c>
    </row>
    <row r="4" spans="1:15" x14ac:dyDescent="0.25">
      <c r="A4" s="9">
        <f>AVERAGE(C4:AJ4)</f>
        <v>9.4625000000000004</v>
      </c>
      <c r="B4" s="8">
        <v>-2</v>
      </c>
      <c r="C4" s="9">
        <f>AVERAGE(9.45, 10)</f>
        <v>9.7249999999999996</v>
      </c>
      <c r="D4" s="9">
        <v>10.15</v>
      </c>
      <c r="E4" s="9">
        <v>9.4499999999999993</v>
      </c>
      <c r="F4" s="9">
        <v>9.3000000000000007</v>
      </c>
      <c r="G4" s="9">
        <v>9.15</v>
      </c>
      <c r="H4" s="9">
        <v>9.3000000000000007</v>
      </c>
      <c r="I4" s="9">
        <f>AVERAGE(9.45, 9.3)</f>
        <v>9.375</v>
      </c>
      <c r="J4" s="9">
        <f>AVERAGE(9.45, 10)</f>
        <v>9.7249999999999996</v>
      </c>
      <c r="K4" s="9">
        <v>9.15</v>
      </c>
      <c r="L4" s="9">
        <f>AVERAGE(9.45, 9.15)</f>
        <v>9.3000000000000007</v>
      </c>
    </row>
    <row r="5" spans="1:15" x14ac:dyDescent="0.25">
      <c r="A5" s="9">
        <f>AVERAGE(C5:AJ5)</f>
        <v>11.045</v>
      </c>
      <c r="B5" s="8">
        <v>-3</v>
      </c>
      <c r="C5" s="9">
        <f>AVERAGE(11.15, 11.15)</f>
        <v>11.15</v>
      </c>
      <c r="D5" s="9">
        <f>AVERAGE(12, 11.45)</f>
        <v>11.725</v>
      </c>
      <c r="E5" s="9">
        <v>11.15</v>
      </c>
      <c r="F5" s="9">
        <f>AVERAGE(10.45, 10.3)</f>
        <v>10.375</v>
      </c>
      <c r="G5" s="9">
        <v>10.3</v>
      </c>
      <c r="H5" s="9">
        <v>11</v>
      </c>
      <c r="I5" s="9">
        <f>AVERAGE(11.15, 11.45)</f>
        <v>11.3</v>
      </c>
      <c r="J5" s="9">
        <v>11.15</v>
      </c>
      <c r="K5" s="9">
        <f>AVERAGE(11.15, 11.3)</f>
        <v>11.225000000000001</v>
      </c>
      <c r="L5" s="9">
        <f>AVERAGE(11.15, 11)</f>
        <v>11.074999999999999</v>
      </c>
    </row>
    <row r="6" spans="1:15" x14ac:dyDescent="0.25">
      <c r="A6" s="9">
        <f>AVERAGE(C6:AJ6)</f>
        <v>13.780555555555557</v>
      </c>
      <c r="B6" s="8">
        <v>-4</v>
      </c>
      <c r="C6" s="9">
        <f>AVERAGE(15.15, 12.3)</f>
        <v>13.725000000000001</v>
      </c>
      <c r="D6" s="9">
        <f>AVERAGE(14.15, 14.45)</f>
        <v>14.3</v>
      </c>
      <c r="E6" s="9" t="s">
        <v>9</v>
      </c>
      <c r="F6" s="9">
        <f>AVERAGE(14.45, 15)</f>
        <v>14.725</v>
      </c>
      <c r="G6" s="9">
        <f>AVERAGE(14.3, 12)</f>
        <v>13.15</v>
      </c>
      <c r="H6" s="9">
        <f>AVERAGE(12.45, 15.3)</f>
        <v>13.875</v>
      </c>
      <c r="I6" s="9">
        <f>AVERAGE(12.3, 14)</f>
        <v>13.15</v>
      </c>
      <c r="J6" s="9">
        <f>AVERAGE(15.15, 12.3)</f>
        <v>13.725000000000001</v>
      </c>
      <c r="K6" s="9">
        <f>AVERAGE(12.45, 14.15)</f>
        <v>13.3</v>
      </c>
      <c r="L6" s="9">
        <f>AVERAGE(15, 13.15)</f>
        <v>14.074999999999999</v>
      </c>
    </row>
    <row r="7" spans="1:15" x14ac:dyDescent="0.25">
      <c r="A7" s="9">
        <f>AVERAGE(C7:M7)</f>
        <v>19.493750000000002</v>
      </c>
      <c r="B7" s="8">
        <v>-5</v>
      </c>
      <c r="C7" s="9">
        <f>AVERAGE(22.15, 22.3)</f>
        <v>22.225000000000001</v>
      </c>
      <c r="D7" s="9" t="s">
        <v>9</v>
      </c>
      <c r="E7" s="9" t="s">
        <v>9</v>
      </c>
      <c r="F7" s="9" t="s">
        <v>9</v>
      </c>
      <c r="G7" s="9">
        <v>16.3</v>
      </c>
      <c r="H7" s="9" t="s">
        <v>9</v>
      </c>
      <c r="I7" s="9">
        <v>19.149999999999999</v>
      </c>
      <c r="J7" s="9" t="s">
        <v>9</v>
      </c>
      <c r="K7" s="9">
        <v>20.3</v>
      </c>
      <c r="L7" s="9" t="s">
        <v>9</v>
      </c>
    </row>
    <row r="8" spans="1:15" x14ac:dyDescent="0.25">
      <c r="D8" s="10"/>
      <c r="K8" s="8" t="s">
        <v>71</v>
      </c>
      <c r="L8" s="8" t="s">
        <v>72</v>
      </c>
      <c r="M8" s="8" t="s">
        <v>73</v>
      </c>
      <c r="N8" s="8" t="s">
        <v>74</v>
      </c>
      <c r="O8" s="8" t="s">
        <v>75</v>
      </c>
    </row>
    <row r="9" spans="1:15" x14ac:dyDescent="0.25">
      <c r="K9" s="8">
        <v>5.0000000000000002E-5</v>
      </c>
      <c r="L9" s="9">
        <f t="shared" ref="L9:L14" si="0">LOG(K9)</f>
        <v>-4.3010299956639813</v>
      </c>
      <c r="M9" s="9">
        <f>AVERAGE(C7:O7)</f>
        <v>19.493750000000002</v>
      </c>
      <c r="N9" s="9">
        <f>_xlfn.STDEV.S(C7:O7)</f>
        <v>2.478438268345597</v>
      </c>
      <c r="O9" s="9">
        <f t="shared" ref="O9:O14" si="1">N9/M9*100</f>
        <v>12.714014842426916</v>
      </c>
    </row>
    <row r="10" spans="1:15" x14ac:dyDescent="0.25">
      <c r="B10" s="8" t="s">
        <v>76</v>
      </c>
      <c r="E10" s="10"/>
      <c r="K10" s="8">
        <v>5.0000000000000001E-4</v>
      </c>
      <c r="L10" s="9">
        <f t="shared" si="0"/>
        <v>-3.3010299956639813</v>
      </c>
      <c r="M10" s="9">
        <f>AVERAGE(C6:O6)</f>
        <v>13.780555555555557</v>
      </c>
      <c r="N10" s="9">
        <f>_xlfn.STDEV.S(C6:O6)</f>
        <v>0.53499091373384788</v>
      </c>
      <c r="O10" s="9">
        <f t="shared" si="1"/>
        <v>3.8822158626120791</v>
      </c>
    </row>
    <row r="11" spans="1:15" x14ac:dyDescent="0.25">
      <c r="B11" s="8">
        <v>-3</v>
      </c>
      <c r="C11" s="8">
        <f>COUNTA(C2:XFD2)-1</f>
        <v>9</v>
      </c>
      <c r="E11" s="8">
        <f>AVERAGE(8.3, 8.15)</f>
        <v>8.2250000000000014</v>
      </c>
      <c r="K11" s="8">
        <v>5.0000000000000001E-3</v>
      </c>
      <c r="L11" s="9">
        <f t="shared" si="0"/>
        <v>-2.3010299956639813</v>
      </c>
      <c r="M11" s="9">
        <f>AVERAGE(C5:O5)</f>
        <v>11.045</v>
      </c>
      <c r="N11" s="9">
        <f>_xlfn.STDEV.S(C5:O5)</f>
        <v>0.42160407967665586</v>
      </c>
      <c r="O11" s="9">
        <f t="shared" si="1"/>
        <v>3.8171487521652865</v>
      </c>
    </row>
    <row r="12" spans="1:15" x14ac:dyDescent="0.25">
      <c r="B12" s="8">
        <v>-4</v>
      </c>
      <c r="C12" s="8">
        <f t="shared" ref="C12:C16" si="2">COUNTA(C3:XFD3)-1</f>
        <v>9</v>
      </c>
      <c r="E12" s="8">
        <f>AVERAGE(9, 9.15)</f>
        <v>9.0749999999999993</v>
      </c>
      <c r="K12" s="8">
        <v>0.05</v>
      </c>
      <c r="L12" s="9">
        <f t="shared" si="0"/>
        <v>-1.3010299956639813</v>
      </c>
      <c r="M12" s="9">
        <f>AVERAGE(C4:O4)</f>
        <v>9.4625000000000004</v>
      </c>
      <c r="N12" s="9">
        <f>_xlfn.STDEV.S(C4:O4)</f>
        <v>0.31496251981607076</v>
      </c>
      <c r="O12" s="9">
        <f t="shared" si="1"/>
        <v>3.3285338950179213</v>
      </c>
    </row>
    <row r="13" spans="1:15" x14ac:dyDescent="0.25">
      <c r="B13" s="8">
        <v>-5</v>
      </c>
      <c r="C13" s="8">
        <f t="shared" si="2"/>
        <v>9</v>
      </c>
      <c r="E13" s="8">
        <v>10.3</v>
      </c>
      <c r="K13" s="8">
        <v>0.5</v>
      </c>
      <c r="L13" s="9">
        <f t="shared" si="0"/>
        <v>-0.3010299956639812</v>
      </c>
      <c r="M13" s="9">
        <f>AVERAGE(C3:O3)</f>
        <v>8.3724999999999987</v>
      </c>
      <c r="N13" s="9">
        <f>_xlfn.STDEV.S(C3:O3)</f>
        <v>0.19055839000159489</v>
      </c>
      <c r="O13" s="9">
        <f t="shared" si="1"/>
        <v>2.276003463739563</v>
      </c>
    </row>
    <row r="14" spans="1:15" x14ac:dyDescent="0.25">
      <c r="A14" s="10"/>
      <c r="B14" s="8">
        <v>-6</v>
      </c>
      <c r="C14" s="8">
        <f t="shared" si="2"/>
        <v>9</v>
      </c>
      <c r="E14" s="8">
        <f>AVERAGE(12.45, 12)</f>
        <v>12.225</v>
      </c>
      <c r="K14" s="8">
        <v>5</v>
      </c>
      <c r="L14" s="9">
        <f t="shared" si="0"/>
        <v>0.69897000433601886</v>
      </c>
      <c r="M14" s="9">
        <f>AVERAGE(C2:O2)</f>
        <v>7.3199999999999985</v>
      </c>
      <c r="N14" s="9">
        <f>_xlfn.STDEV.S(C2:O2)</f>
        <v>0.16278820596099702</v>
      </c>
      <c r="O14" s="9">
        <f t="shared" si="1"/>
        <v>2.2238825950955885</v>
      </c>
    </row>
    <row r="15" spans="1:15" x14ac:dyDescent="0.25">
      <c r="A15" s="10"/>
      <c r="B15" s="8">
        <v>-7</v>
      </c>
      <c r="C15" s="8">
        <f t="shared" si="2"/>
        <v>9</v>
      </c>
      <c r="E15" s="8">
        <f>AVERAGE(19, 15)</f>
        <v>17</v>
      </c>
    </row>
    <row r="16" spans="1:15" x14ac:dyDescent="0.25">
      <c r="B16" s="8">
        <v>-8</v>
      </c>
      <c r="C16" s="8">
        <f t="shared" si="2"/>
        <v>9</v>
      </c>
      <c r="E16" s="8">
        <f>AVERAGE(22.15, 22.3)</f>
        <v>22.225000000000001</v>
      </c>
    </row>
    <row r="37" spans="21:32" x14ac:dyDescent="0.25">
      <c r="U37" s="15" t="s">
        <v>77</v>
      </c>
    </row>
    <row r="38" spans="21:32" x14ac:dyDescent="0.25">
      <c r="U38" s="8">
        <v>8.3000000000000007</v>
      </c>
      <c r="V38" s="8">
        <v>8</v>
      </c>
      <c r="W38" s="8">
        <v>7.3</v>
      </c>
      <c r="X38" s="8">
        <v>7.3</v>
      </c>
      <c r="Y38" s="8">
        <v>7.15</v>
      </c>
      <c r="Z38" s="8">
        <v>7.45</v>
      </c>
      <c r="AA38" s="8">
        <v>7.3</v>
      </c>
      <c r="AB38" s="8">
        <v>7.45</v>
      </c>
      <c r="AC38" s="8">
        <v>7.3</v>
      </c>
      <c r="AD38" s="8">
        <v>7.3</v>
      </c>
      <c r="AE38" s="8">
        <f>AVERAGE(U38:AD39)</f>
        <v>7.4050000000000029</v>
      </c>
      <c r="AF38" s="8">
        <v>0</v>
      </c>
    </row>
    <row r="39" spans="21:32" x14ac:dyDescent="0.25">
      <c r="U39" s="8">
        <v>8.15</v>
      </c>
      <c r="V39" s="8">
        <v>7.45</v>
      </c>
      <c r="W39" s="8">
        <v>7.15</v>
      </c>
      <c r="X39" s="8">
        <v>7.15</v>
      </c>
      <c r="Y39" s="8">
        <v>7.15</v>
      </c>
      <c r="Z39" s="8">
        <v>7.3</v>
      </c>
      <c r="AA39" s="8">
        <v>7.15</v>
      </c>
      <c r="AB39" s="8">
        <v>7.3</v>
      </c>
      <c r="AC39" s="8">
        <v>7.15</v>
      </c>
      <c r="AD39" s="8">
        <v>7.3</v>
      </c>
    </row>
    <row r="40" spans="21:32" x14ac:dyDescent="0.25">
      <c r="U40" s="8">
        <v>9</v>
      </c>
      <c r="V40" s="8">
        <v>8.4499999999999993</v>
      </c>
      <c r="W40" s="8">
        <v>8.3000000000000007</v>
      </c>
      <c r="X40" s="8">
        <v>8.15</v>
      </c>
      <c r="Y40" s="8">
        <v>8.15</v>
      </c>
      <c r="Z40" s="8">
        <v>8.4499999999999993</v>
      </c>
      <c r="AA40" s="8">
        <v>9.15</v>
      </c>
      <c r="AB40" s="8">
        <v>8.4499999999999993</v>
      </c>
      <c r="AC40" s="8">
        <v>8.3000000000000007</v>
      </c>
      <c r="AD40" s="8">
        <v>8.4499999999999993</v>
      </c>
      <c r="AE40" s="8">
        <f>AVERAGE(U40:AD41)</f>
        <v>8.4350000000000005</v>
      </c>
      <c r="AF40" s="8">
        <v>1</v>
      </c>
    </row>
    <row r="41" spans="21:32" x14ac:dyDescent="0.25">
      <c r="U41" s="8">
        <v>9.15</v>
      </c>
      <c r="V41" s="8">
        <v>8.4499999999999993</v>
      </c>
      <c r="W41" s="8">
        <v>8.3000000000000007</v>
      </c>
      <c r="X41" s="8">
        <v>8.15</v>
      </c>
      <c r="Y41" s="8">
        <v>8.15</v>
      </c>
      <c r="Z41" s="8">
        <v>8.3000000000000007</v>
      </c>
      <c r="AA41" s="8">
        <v>8.4499999999999993</v>
      </c>
      <c r="AB41" s="8">
        <v>8.4499999999999993</v>
      </c>
      <c r="AC41" s="8">
        <v>8.15</v>
      </c>
      <c r="AD41" s="8">
        <v>8.3000000000000007</v>
      </c>
    </row>
    <row r="42" spans="21:32" x14ac:dyDescent="0.25">
      <c r="U42" s="8">
        <v>10.3</v>
      </c>
      <c r="V42" s="8">
        <v>10.15</v>
      </c>
      <c r="W42" s="8">
        <v>9.4499999999999993</v>
      </c>
      <c r="X42" s="8">
        <v>9.3000000000000007</v>
      </c>
      <c r="Y42" s="8">
        <v>9.15</v>
      </c>
      <c r="Z42" s="8">
        <v>9.3000000000000007</v>
      </c>
      <c r="AA42" s="8">
        <v>9.4499999999999993</v>
      </c>
      <c r="AB42" s="8">
        <v>9.4499999999999993</v>
      </c>
      <c r="AC42" s="8">
        <v>9.15</v>
      </c>
      <c r="AD42" s="8">
        <v>9.4499999999999993</v>
      </c>
      <c r="AE42" s="8">
        <f>AVERAGE(U42:AD43)</f>
        <v>9.5200000000000031</v>
      </c>
      <c r="AF42" s="8">
        <v>2</v>
      </c>
    </row>
    <row r="43" spans="21:32" x14ac:dyDescent="0.25">
      <c r="U43" s="8">
        <v>10.3</v>
      </c>
      <c r="V43" s="8">
        <v>10.15</v>
      </c>
      <c r="W43" s="8">
        <v>9.4499999999999993</v>
      </c>
      <c r="X43" s="8">
        <v>9.3000000000000007</v>
      </c>
      <c r="Y43" s="8">
        <v>9.15</v>
      </c>
      <c r="Z43" s="8">
        <v>9.3000000000000007</v>
      </c>
      <c r="AA43" s="8">
        <v>9.3000000000000007</v>
      </c>
      <c r="AB43" s="8">
        <v>10</v>
      </c>
      <c r="AC43" s="8">
        <v>9.15</v>
      </c>
      <c r="AD43" s="8">
        <v>9.15</v>
      </c>
    </row>
    <row r="44" spans="21:32" x14ac:dyDescent="0.25">
      <c r="U44" s="8">
        <v>12.45</v>
      </c>
      <c r="V44" s="8">
        <v>12</v>
      </c>
      <c r="W44" s="8">
        <v>11.15</v>
      </c>
      <c r="X44" s="8">
        <v>10.45</v>
      </c>
      <c r="Y44" s="8">
        <v>10.3</v>
      </c>
      <c r="Z44" s="8">
        <v>11</v>
      </c>
      <c r="AA44" s="8">
        <v>11.15</v>
      </c>
      <c r="AB44" s="8">
        <v>11.15</v>
      </c>
      <c r="AC44" s="8">
        <v>11.15</v>
      </c>
      <c r="AD44" s="8">
        <v>11.15</v>
      </c>
      <c r="AE44" s="8">
        <f>AVERAGE(U44:AD45)</f>
        <v>11.152500000000002</v>
      </c>
      <c r="AF44" s="8">
        <v>3</v>
      </c>
    </row>
    <row r="45" spans="21:32" x14ac:dyDescent="0.25">
      <c r="U45" s="8">
        <v>12</v>
      </c>
      <c r="V45" s="8">
        <v>11.45</v>
      </c>
      <c r="W45" s="8">
        <v>11.15</v>
      </c>
      <c r="X45" s="8">
        <v>10.3</v>
      </c>
      <c r="Y45" s="8">
        <v>10.3</v>
      </c>
      <c r="Z45" s="8">
        <v>11</v>
      </c>
      <c r="AA45" s="8">
        <v>11.45</v>
      </c>
      <c r="AB45" s="8">
        <v>11.15</v>
      </c>
      <c r="AC45" s="8">
        <v>11.3</v>
      </c>
      <c r="AD45" s="8">
        <v>11</v>
      </c>
    </row>
    <row r="46" spans="21:32" x14ac:dyDescent="0.25">
      <c r="U46" s="8">
        <v>19</v>
      </c>
      <c r="V46" s="8">
        <v>14.15</v>
      </c>
      <c r="X46" s="8">
        <v>14.45</v>
      </c>
      <c r="Y46" s="8">
        <v>14.3</v>
      </c>
      <c r="Z46" s="8">
        <v>12.45</v>
      </c>
      <c r="AA46" s="8">
        <v>12.3</v>
      </c>
      <c r="AB46" s="8">
        <v>15.15</v>
      </c>
      <c r="AC46" s="8">
        <v>12.45</v>
      </c>
      <c r="AD46" s="8">
        <v>15</v>
      </c>
      <c r="AE46" s="8">
        <f>AVERAGE(U46:AD47)</f>
        <v>14.144444444444446</v>
      </c>
      <c r="AF46" s="8">
        <v>4</v>
      </c>
    </row>
    <row r="47" spans="21:32" x14ac:dyDescent="0.25">
      <c r="U47" s="8">
        <v>15</v>
      </c>
      <c r="V47" s="8">
        <v>14.45</v>
      </c>
      <c r="X47" s="8">
        <v>15</v>
      </c>
      <c r="Y47" s="8">
        <v>12</v>
      </c>
      <c r="Z47" s="8">
        <v>15.3</v>
      </c>
      <c r="AA47" s="8">
        <v>14</v>
      </c>
      <c r="AB47" s="8">
        <v>12.3</v>
      </c>
      <c r="AC47" s="8">
        <v>14.15</v>
      </c>
      <c r="AD47" s="8">
        <v>13.15</v>
      </c>
    </row>
    <row r="48" spans="21:32" x14ac:dyDescent="0.25">
      <c r="U48" s="8">
        <v>22.15</v>
      </c>
      <c r="Y48" s="8">
        <v>16.3</v>
      </c>
      <c r="AC48" s="8">
        <v>20.3</v>
      </c>
      <c r="AE48" s="8">
        <f>AVERAGE(U48:AD49)</f>
        <v>20.04</v>
      </c>
      <c r="AF48" s="8">
        <v>5</v>
      </c>
    </row>
    <row r="49" spans="21:27" x14ac:dyDescent="0.25">
      <c r="U49" s="8">
        <v>22.3</v>
      </c>
      <c r="AA49" s="8">
        <v>19.149999999999999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791B0-2A0B-4625-9ECE-0543C4FADF47}">
  <dimension ref="A1:AA43"/>
  <sheetViews>
    <sheetView zoomScale="115" zoomScaleNormal="115" workbookViewId="0">
      <selection activeCell="H4" sqref="H4"/>
    </sheetView>
  </sheetViews>
  <sheetFormatPr defaultRowHeight="15" x14ac:dyDescent="0.25"/>
  <cols>
    <col min="1" max="1" width="27" style="8" bestFit="1" customWidth="1"/>
    <col min="2" max="16384" width="9.140625" style="8"/>
  </cols>
  <sheetData>
    <row r="1" spans="1:27" x14ac:dyDescent="0.25">
      <c r="A1" s="8" t="s">
        <v>78</v>
      </c>
      <c r="B1" s="8" t="s">
        <v>96</v>
      </c>
      <c r="D1" s="8">
        <v>285</v>
      </c>
      <c r="E1" s="8">
        <v>286</v>
      </c>
      <c r="N1" s="15" t="s">
        <v>95</v>
      </c>
    </row>
    <row r="2" spans="1:27" x14ac:dyDescent="0.25">
      <c r="A2" s="8" t="s">
        <v>79</v>
      </c>
      <c r="B2" s="8">
        <v>1</v>
      </c>
      <c r="C2" s="8">
        <v>0.5</v>
      </c>
      <c r="D2" s="8">
        <v>0.25</v>
      </c>
      <c r="E2" s="8">
        <v>0.125</v>
      </c>
      <c r="F2" s="10"/>
    </row>
    <row r="3" spans="1:27" x14ac:dyDescent="0.25">
      <c r="A3" s="8" t="s">
        <v>80</v>
      </c>
    </row>
    <row r="4" spans="1:27" x14ac:dyDescent="0.25">
      <c r="A4" s="17" t="s">
        <v>81</v>
      </c>
      <c r="B4" s="17" t="s">
        <v>9</v>
      </c>
      <c r="C4" s="17" t="s">
        <v>9</v>
      </c>
      <c r="D4" s="17" t="s">
        <v>9</v>
      </c>
      <c r="E4" s="17"/>
      <c r="F4" s="17"/>
      <c r="H4" s="8" t="s">
        <v>100</v>
      </c>
      <c r="I4" s="15" t="s">
        <v>99</v>
      </c>
    </row>
    <row r="5" spans="1:27" x14ac:dyDescent="0.25">
      <c r="A5" s="18" t="s">
        <v>14</v>
      </c>
      <c r="B5" s="17" t="s">
        <v>9</v>
      </c>
      <c r="C5" s="17">
        <f>AVERAGE(17.57, 17.11)</f>
        <v>17.34</v>
      </c>
      <c r="D5" s="17" t="s">
        <v>9</v>
      </c>
      <c r="E5" s="17" t="s">
        <v>82</v>
      </c>
      <c r="F5" s="17"/>
      <c r="G5" s="8" t="s">
        <v>94</v>
      </c>
      <c r="H5" s="9">
        <v>11.07</v>
      </c>
      <c r="I5" s="9">
        <f>_xlfn.STDEV.S(H5:H6)</f>
        <v>0.33941125496954311</v>
      </c>
    </row>
    <row r="6" spans="1:27" x14ac:dyDescent="0.25">
      <c r="A6" s="18" t="s">
        <v>15</v>
      </c>
      <c r="B6" s="20">
        <f>AVERAGE(14.3, 14.2)</f>
        <v>14.25</v>
      </c>
      <c r="C6" s="20">
        <f>AVERAGE(11.23, 11.43)</f>
        <v>11.33</v>
      </c>
      <c r="D6" s="20">
        <f>AVERAGE(17, 16)</f>
        <v>16.5</v>
      </c>
      <c r="E6" s="20">
        <f>AVERAGE(16, 15.15)</f>
        <v>15.574999999999999</v>
      </c>
      <c r="F6" s="17"/>
      <c r="H6" s="9">
        <v>10.59</v>
      </c>
      <c r="I6" s="9"/>
    </row>
    <row r="7" spans="1:27" x14ac:dyDescent="0.25">
      <c r="A7" s="19" t="s">
        <v>16</v>
      </c>
      <c r="B7" s="21">
        <f>AVERAGE(11.07, 10.59)</f>
        <v>10.83</v>
      </c>
      <c r="C7" s="21">
        <f>AVERAGE(10.18, 10.25)</f>
        <v>10.215</v>
      </c>
      <c r="D7" s="21">
        <f>AVERAGE(13, 14.15)</f>
        <v>13.574999999999999</v>
      </c>
      <c r="E7" s="21">
        <f>AVERAGE(11.4, 11.53)</f>
        <v>11.465</v>
      </c>
      <c r="F7" s="17"/>
      <c r="G7" s="8" t="s">
        <v>101</v>
      </c>
      <c r="H7" s="9">
        <v>10.18</v>
      </c>
      <c r="I7" s="9">
        <f>_xlfn.STDEV.S(H7:H8)</f>
        <v>4.9497474683058526E-2</v>
      </c>
      <c r="X7" s="9"/>
      <c r="Y7" s="9"/>
      <c r="Z7" s="9"/>
      <c r="AA7" s="9"/>
    </row>
    <row r="8" spans="1:27" x14ac:dyDescent="0.25">
      <c r="A8" s="18" t="s">
        <v>10</v>
      </c>
      <c r="B8" s="20">
        <f>AVERAGE(10.4, 10.14)</f>
        <v>10.27</v>
      </c>
      <c r="C8" s="20">
        <f>AVERAGE(10.19, 10.17)</f>
        <v>10.18</v>
      </c>
      <c r="D8" s="20" t="s">
        <v>83</v>
      </c>
      <c r="E8" s="20">
        <f>AVERAGE(15.15, 13)</f>
        <v>14.074999999999999</v>
      </c>
      <c r="F8" s="17"/>
      <c r="H8" s="9">
        <v>10.25</v>
      </c>
      <c r="I8" s="9"/>
    </row>
    <row r="9" spans="1:27" x14ac:dyDescent="0.25">
      <c r="A9" s="18" t="s">
        <v>11</v>
      </c>
      <c r="B9" s="20">
        <f>AVERAGE(11.06, 10.51)</f>
        <v>10.785</v>
      </c>
      <c r="C9" s="20">
        <f>AVERAGE(11.45, 11.15)</f>
        <v>11.3</v>
      </c>
      <c r="D9" s="20">
        <f>AVERAGE(13, 14.15)</f>
        <v>13.574999999999999</v>
      </c>
      <c r="E9" s="20">
        <f>AVERAGE(13, 15.15)</f>
        <v>14.074999999999999</v>
      </c>
      <c r="F9" s="17"/>
      <c r="G9" s="8" t="s">
        <v>102</v>
      </c>
      <c r="H9" s="9">
        <v>13</v>
      </c>
      <c r="I9" s="9">
        <f>_xlfn.STDEV.S(H9:H10)</f>
        <v>0.81317279836452983</v>
      </c>
    </row>
    <row r="10" spans="1:27" x14ac:dyDescent="0.25">
      <c r="A10" s="18" t="s">
        <v>12</v>
      </c>
      <c r="B10" s="20">
        <f>AVERAGE(11.2, 11.11)</f>
        <v>11.154999999999999</v>
      </c>
      <c r="C10" s="20">
        <f>AVERAGE(13, 12.3)</f>
        <v>12.65</v>
      </c>
      <c r="D10" s="20">
        <f>AVERAGE(17, 21)</f>
        <v>19</v>
      </c>
      <c r="E10" s="20">
        <f>AVERAGE(18.15, 14.45)</f>
        <v>16.299999999999997</v>
      </c>
      <c r="F10" s="17"/>
      <c r="H10" s="9">
        <v>14.15</v>
      </c>
      <c r="I10" s="9"/>
    </row>
    <row r="11" spans="1:27" x14ac:dyDescent="0.25">
      <c r="A11" s="18" t="s">
        <v>13</v>
      </c>
      <c r="B11" s="20">
        <f>AVERAGE(12.29, 12.15)</f>
        <v>12.219999999999999</v>
      </c>
      <c r="C11" s="20">
        <v>12.45</v>
      </c>
      <c r="D11" s="20">
        <f>AVERAGE(18.46, 13.44)</f>
        <v>15.95</v>
      </c>
      <c r="E11" s="20">
        <f>AVERAGE(14.45, 15.15)</f>
        <v>14.8</v>
      </c>
      <c r="F11" s="17"/>
      <c r="G11" s="8" t="s">
        <v>103</v>
      </c>
      <c r="H11" s="9">
        <v>11.4</v>
      </c>
      <c r="I11" s="9">
        <f>_xlfn.STDEV.S(H11:H12)</f>
        <v>9.1923881554250478E-2</v>
      </c>
    </row>
    <row r="12" spans="1:27" x14ac:dyDescent="0.25">
      <c r="A12" s="18" t="s">
        <v>84</v>
      </c>
      <c r="B12" s="20">
        <v>7.48</v>
      </c>
      <c r="C12" s="20">
        <f>AVERAGE(7.4, 7.45)</f>
        <v>7.4250000000000007</v>
      </c>
      <c r="D12" s="20">
        <f>AVERAGE(8, 8.15)</f>
        <v>8.0749999999999993</v>
      </c>
      <c r="E12" s="20">
        <f>AVERAGE(8, 8.15)</f>
        <v>8.0749999999999993</v>
      </c>
      <c r="F12" s="17"/>
      <c r="H12" s="9">
        <v>11.53</v>
      </c>
      <c r="I12" s="9"/>
    </row>
    <row r="13" spans="1:27" x14ac:dyDescent="0.25">
      <c r="A13" s="17"/>
      <c r="B13" s="20">
        <f>AVERAGE(7.5, 7.36)</f>
        <v>7.43</v>
      </c>
      <c r="C13" s="20">
        <v>7.1950000000000003</v>
      </c>
      <c r="D13" s="20">
        <v>8.15</v>
      </c>
      <c r="E13" s="20">
        <v>8.15</v>
      </c>
      <c r="F13" s="17"/>
    </row>
    <row r="14" spans="1:27" x14ac:dyDescent="0.25">
      <c r="A14" s="17"/>
      <c r="B14" s="20">
        <f>AVERAGE(8.03, 7.57)</f>
        <v>7.8</v>
      </c>
      <c r="C14" s="20">
        <v>8.15</v>
      </c>
      <c r="D14" s="20"/>
      <c r="E14" s="20">
        <f>AVERAGE(8.15, 8)</f>
        <v>8.0749999999999993</v>
      </c>
      <c r="F14" s="17"/>
    </row>
    <row r="15" spans="1:27" x14ac:dyDescent="0.25">
      <c r="A15" s="17" t="s">
        <v>85</v>
      </c>
      <c r="B15" s="20"/>
      <c r="C15" s="20"/>
      <c r="D15" s="20"/>
      <c r="E15" s="20">
        <f>AVERAGE(7.33, 8.08)</f>
        <v>7.7050000000000001</v>
      </c>
      <c r="F15" s="17"/>
    </row>
    <row r="16" spans="1:27" x14ac:dyDescent="0.25">
      <c r="A16" s="8" t="s">
        <v>86</v>
      </c>
      <c r="B16" s="8">
        <v>500</v>
      </c>
    </row>
    <row r="17" spans="1:12" x14ac:dyDescent="0.25">
      <c r="A17" s="8" t="s">
        <v>87</v>
      </c>
      <c r="B17" s="8">
        <v>50</v>
      </c>
    </row>
    <row r="18" spans="1:12" x14ac:dyDescent="0.25">
      <c r="A18" s="8" t="s">
        <v>88</v>
      </c>
      <c r="B18" s="8">
        <v>10</v>
      </c>
    </row>
    <row r="19" spans="1:12" x14ac:dyDescent="0.25">
      <c r="B19" s="8">
        <v>5</v>
      </c>
    </row>
    <row r="20" spans="1:12" x14ac:dyDescent="0.25">
      <c r="B20" s="8">
        <v>2.5</v>
      </c>
    </row>
    <row r="21" spans="1:12" x14ac:dyDescent="0.25">
      <c r="B21" s="8">
        <v>1.25</v>
      </c>
    </row>
    <row r="24" spans="1:12" x14ac:dyDescent="0.25">
      <c r="B24" s="8" t="s">
        <v>89</v>
      </c>
    </row>
    <row r="25" spans="1:12" x14ac:dyDescent="0.25">
      <c r="A25" s="8" t="s">
        <v>90</v>
      </c>
      <c r="B25" s="8">
        <v>1</v>
      </c>
      <c r="C25" s="8">
        <v>0.5</v>
      </c>
      <c r="D25" s="8">
        <v>0.25</v>
      </c>
      <c r="E25" s="8">
        <v>0.125</v>
      </c>
    </row>
    <row r="26" spans="1:12" x14ac:dyDescent="0.25">
      <c r="A26" s="8" t="s">
        <v>91</v>
      </c>
      <c r="B26" s="8" t="s">
        <v>92</v>
      </c>
      <c r="G26" s="9"/>
      <c r="H26" s="9"/>
    </row>
    <row r="27" spans="1:12" x14ac:dyDescent="0.25">
      <c r="A27" s="8" t="s">
        <v>93</v>
      </c>
      <c r="B27" s="9">
        <f>(100*10)/550</f>
        <v>1.8181818181818181</v>
      </c>
      <c r="C27" s="9">
        <f>(100*5)/550</f>
        <v>0.90909090909090906</v>
      </c>
      <c r="D27" s="9">
        <f>(100*0.25)/550</f>
        <v>4.5454545454545456E-2</v>
      </c>
      <c r="E27" s="9">
        <f>(100*0.125)/550</f>
        <v>2.2727272727272728E-2</v>
      </c>
    </row>
    <row r="28" spans="1:12" x14ac:dyDescent="0.25">
      <c r="A28" s="15" t="s">
        <v>97</v>
      </c>
      <c r="B28" s="8" t="s">
        <v>98</v>
      </c>
    </row>
    <row r="29" spans="1:12" x14ac:dyDescent="0.25">
      <c r="B29" s="15" t="s">
        <v>94</v>
      </c>
      <c r="C29" s="15"/>
      <c r="D29" s="15"/>
      <c r="E29" s="15">
        <v>0.5</v>
      </c>
      <c r="F29" s="15"/>
      <c r="G29" s="15"/>
      <c r="H29" s="15">
        <v>0.25</v>
      </c>
      <c r="I29" s="15"/>
      <c r="J29" s="15"/>
      <c r="K29" s="15">
        <v>0.125</v>
      </c>
    </row>
    <row r="30" spans="1:12" x14ac:dyDescent="0.25">
      <c r="B30" s="8">
        <v>14.3</v>
      </c>
      <c r="C30" s="9">
        <f>_xlfn.STDEV.S(B30:B31)</f>
        <v>7.0710678118655765E-2</v>
      </c>
      <c r="E30" s="8">
        <v>17.57</v>
      </c>
      <c r="F30" s="9">
        <f>_xlfn.STDEV.S(E30:E31)</f>
        <v>0.32526911934581249</v>
      </c>
      <c r="H30" s="8">
        <v>17</v>
      </c>
      <c r="I30" s="9">
        <f>_xlfn.STDEV.S(H30:H31)</f>
        <v>0.70710678118654757</v>
      </c>
      <c r="K30" s="8">
        <v>16</v>
      </c>
      <c r="L30" s="9">
        <f>_xlfn.STDEV.S(K30:K31)</f>
        <v>0.6010407640085651</v>
      </c>
    </row>
    <row r="31" spans="1:12" x14ac:dyDescent="0.25">
      <c r="B31" s="8">
        <v>14.2</v>
      </c>
      <c r="C31" s="9"/>
      <c r="E31" s="8">
        <v>17.11</v>
      </c>
      <c r="F31" s="9"/>
      <c r="H31" s="8">
        <v>16</v>
      </c>
      <c r="I31" s="9"/>
      <c r="K31" s="8">
        <v>15.15</v>
      </c>
      <c r="L31" s="9"/>
    </row>
    <row r="32" spans="1:12" x14ac:dyDescent="0.25">
      <c r="B32" s="8">
        <v>11.07</v>
      </c>
      <c r="C32" s="9">
        <f>_xlfn.STDEV.S(B32:B33)</f>
        <v>0.33941125496954311</v>
      </c>
      <c r="E32" s="8">
        <v>11.23</v>
      </c>
      <c r="F32" s="9">
        <f>_xlfn.STDEV.S(E32:E33)</f>
        <v>0.141421356237309</v>
      </c>
      <c r="H32" s="8">
        <v>13</v>
      </c>
      <c r="I32" s="9">
        <f>_xlfn.STDEV.S(H32:H33)</f>
        <v>0.81317279836452983</v>
      </c>
      <c r="K32" s="8">
        <v>11.4</v>
      </c>
      <c r="L32" s="9">
        <f>_xlfn.STDEV.S(K32:K33)</f>
        <v>9.1923881554250478E-2</v>
      </c>
    </row>
    <row r="33" spans="2:12" x14ac:dyDescent="0.25">
      <c r="B33" s="8">
        <v>10.59</v>
      </c>
      <c r="C33" s="9"/>
      <c r="E33" s="8">
        <v>11.43</v>
      </c>
      <c r="F33" s="9"/>
      <c r="H33" s="8">
        <v>14.15</v>
      </c>
      <c r="I33" s="9"/>
      <c r="K33" s="8">
        <v>11.53</v>
      </c>
      <c r="L33" s="9"/>
    </row>
    <row r="34" spans="2:12" x14ac:dyDescent="0.25">
      <c r="B34" s="8">
        <v>10.4</v>
      </c>
      <c r="C34" s="9">
        <f>_xlfn.STDEV.S(B34:B35)</f>
        <v>0.1838477631085022</v>
      </c>
      <c r="E34" s="8">
        <v>10.18</v>
      </c>
      <c r="F34" s="9">
        <f>_xlfn.STDEV.S(E34:E35)</f>
        <v>4.9497474683058526E-2</v>
      </c>
      <c r="H34" s="8" t="s">
        <v>9</v>
      </c>
      <c r="I34" s="9" t="e">
        <f>_xlfn.STDEV.S(H34:H35)</f>
        <v>#DIV/0!</v>
      </c>
      <c r="K34" s="8">
        <v>15.15</v>
      </c>
      <c r="L34" s="9">
        <f>_xlfn.STDEV.S(K34:K35)</f>
        <v>1.5202795795510775</v>
      </c>
    </row>
    <row r="35" spans="2:12" x14ac:dyDescent="0.25">
      <c r="B35" s="8">
        <v>10.14</v>
      </c>
      <c r="C35" s="9"/>
      <c r="E35" s="8">
        <v>10.25</v>
      </c>
      <c r="F35" s="9"/>
      <c r="I35" s="9"/>
      <c r="K35" s="8">
        <v>13</v>
      </c>
      <c r="L35" s="9"/>
    </row>
    <row r="36" spans="2:12" x14ac:dyDescent="0.25">
      <c r="B36" s="8">
        <v>11.06</v>
      </c>
      <c r="C36" s="9">
        <f>_xlfn.STDEV.S(B36:B37)</f>
        <v>0.38890872965260165</v>
      </c>
      <c r="E36" s="8">
        <v>10.19</v>
      </c>
      <c r="F36" s="9">
        <f>_xlfn.STDEV.S(E36:E37)</f>
        <v>1.4142135623730649E-2</v>
      </c>
      <c r="H36" s="8">
        <v>13</v>
      </c>
      <c r="I36" s="9">
        <f>_xlfn.STDEV.S(H36:H37)</f>
        <v>0.81317279836452983</v>
      </c>
      <c r="K36" s="8">
        <v>13</v>
      </c>
      <c r="L36" s="9">
        <f>_xlfn.STDEV.S(K36:K37)</f>
        <v>1.5202795795510775</v>
      </c>
    </row>
    <row r="37" spans="2:12" x14ac:dyDescent="0.25">
      <c r="B37" s="8">
        <v>10.51</v>
      </c>
      <c r="C37" s="9"/>
      <c r="E37" s="8">
        <v>10.17</v>
      </c>
      <c r="F37" s="9"/>
      <c r="H37" s="8">
        <v>14.15</v>
      </c>
      <c r="I37" s="9"/>
      <c r="K37" s="8">
        <v>15.15</v>
      </c>
      <c r="L37" s="9"/>
    </row>
    <row r="38" spans="2:12" x14ac:dyDescent="0.25">
      <c r="B38" s="8">
        <v>11.2</v>
      </c>
      <c r="C38" s="9">
        <f>_xlfn.STDEV.S(B38:B39)</f>
        <v>6.3639610306789177E-2</v>
      </c>
      <c r="E38" s="8">
        <v>11.45</v>
      </c>
      <c r="F38" s="9">
        <f>_xlfn.STDEV.S(E38:E39)</f>
        <v>0.21213203435596351</v>
      </c>
      <c r="H38" s="8">
        <v>17</v>
      </c>
      <c r="I38" s="9">
        <f>_xlfn.STDEV.S(H38:H39)</f>
        <v>2.8284271247461903</v>
      </c>
      <c r="K38" s="8">
        <v>18.149999999999999</v>
      </c>
      <c r="L38" s="9">
        <f>_xlfn.STDEV.S(K38:K39)</f>
        <v>2.6162950903902527</v>
      </c>
    </row>
    <row r="39" spans="2:12" x14ac:dyDescent="0.25">
      <c r="B39" s="8">
        <v>11.11</v>
      </c>
      <c r="C39" s="9"/>
      <c r="E39" s="8">
        <v>11.15</v>
      </c>
      <c r="F39" s="9"/>
      <c r="H39" s="8">
        <v>21</v>
      </c>
      <c r="I39" s="9"/>
      <c r="K39" s="8">
        <v>14.45</v>
      </c>
      <c r="L39" s="9"/>
    </row>
    <row r="40" spans="2:12" x14ac:dyDescent="0.25">
      <c r="B40" s="8">
        <v>12.29</v>
      </c>
      <c r="C40" s="9">
        <f>_xlfn.STDEV.S(B40:B41)</f>
        <v>9.8994949366115789E-2</v>
      </c>
      <c r="E40" s="8">
        <v>13</v>
      </c>
      <c r="F40" s="9">
        <f>_xlfn.STDEV.S(E40:E41)</f>
        <v>0.49497474683058273</v>
      </c>
      <c r="H40" s="8">
        <v>18.46</v>
      </c>
      <c r="I40" s="9">
        <f>_xlfn.STDEV.S(H40:H41)</f>
        <v>3.5496760415564808</v>
      </c>
      <c r="K40" s="8">
        <v>14.45</v>
      </c>
      <c r="L40" s="9">
        <f>_xlfn.STDEV.S(K40:K41)</f>
        <v>0.49497474683058401</v>
      </c>
    </row>
    <row r="41" spans="2:12" x14ac:dyDescent="0.25">
      <c r="B41" s="8">
        <v>12.15</v>
      </c>
      <c r="C41" s="9"/>
      <c r="E41" s="8">
        <v>12.3</v>
      </c>
      <c r="F41" s="9"/>
      <c r="H41" s="8">
        <v>13.44</v>
      </c>
      <c r="I41" s="9"/>
      <c r="K41" s="8">
        <v>15.15</v>
      </c>
      <c r="L41" s="9"/>
    </row>
    <row r="42" spans="2:12" x14ac:dyDescent="0.25">
      <c r="E42" s="8" t="s">
        <v>9</v>
      </c>
      <c r="F42" s="9" t="e">
        <f>_xlfn.STDEV.S(E42:E43)/SQRT(1)</f>
        <v>#DIV/0!</v>
      </c>
    </row>
    <row r="43" spans="2:12" x14ac:dyDescent="0.25">
      <c r="F43" s="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BE014-216C-44D4-AC36-73DF94CC1A52}">
  <dimension ref="A1:I10"/>
  <sheetViews>
    <sheetView zoomScale="70" zoomScaleNormal="70" workbookViewId="0">
      <selection activeCell="F13" sqref="F13"/>
    </sheetView>
  </sheetViews>
  <sheetFormatPr defaultRowHeight="15" x14ac:dyDescent="0.25"/>
  <sheetData>
    <row r="1" spans="1:9" ht="89.25" customHeight="1" x14ac:dyDescent="0.25">
      <c r="A1" s="6" t="s">
        <v>0</v>
      </c>
      <c r="B1" s="1" t="s">
        <v>1</v>
      </c>
      <c r="C1" s="6" t="s">
        <v>3</v>
      </c>
      <c r="D1" s="1" t="s">
        <v>1</v>
      </c>
      <c r="E1" s="6" t="s">
        <v>3</v>
      </c>
      <c r="F1" s="6" t="s">
        <v>5</v>
      </c>
      <c r="G1" s="6" t="s">
        <v>3</v>
      </c>
      <c r="H1" s="6" t="s">
        <v>6</v>
      </c>
      <c r="I1" s="6" t="s">
        <v>3</v>
      </c>
    </row>
    <row r="2" spans="1:9" ht="18" customHeight="1" thickBot="1" x14ac:dyDescent="0.3">
      <c r="A2" s="7"/>
      <c r="B2" s="2" t="s">
        <v>2</v>
      </c>
      <c r="C2" s="7"/>
      <c r="D2" s="2" t="s">
        <v>4</v>
      </c>
      <c r="E2" s="7"/>
      <c r="F2" s="7"/>
      <c r="G2" s="7"/>
      <c r="H2" s="7"/>
      <c r="I2" s="7"/>
    </row>
    <row r="3" spans="1:9" ht="23.25" thickBot="1" x14ac:dyDescent="0.3">
      <c r="A3" s="3" t="s">
        <v>7</v>
      </c>
      <c r="B3" s="3" t="s">
        <v>8</v>
      </c>
      <c r="C3" s="3" t="s">
        <v>9</v>
      </c>
      <c r="D3" s="3" t="s">
        <v>8</v>
      </c>
      <c r="E3" s="3" t="s">
        <v>9</v>
      </c>
      <c r="F3" s="3" t="s">
        <v>8</v>
      </c>
      <c r="G3" s="3" t="s">
        <v>9</v>
      </c>
      <c r="H3" s="3" t="s">
        <v>8</v>
      </c>
      <c r="I3" s="3" t="s">
        <v>9</v>
      </c>
    </row>
    <row r="4" spans="1:9" ht="23.25" thickBot="1" x14ac:dyDescent="0.3">
      <c r="A4" s="4" t="s">
        <v>14</v>
      </c>
      <c r="B4" s="3" t="s">
        <v>8</v>
      </c>
      <c r="C4" s="3" t="s">
        <v>9</v>
      </c>
      <c r="D4" s="3">
        <v>17.34</v>
      </c>
      <c r="E4" s="3">
        <v>0.33</v>
      </c>
      <c r="F4" s="3" t="s">
        <v>8</v>
      </c>
      <c r="G4" s="3" t="s">
        <v>9</v>
      </c>
      <c r="H4" s="5">
        <v>17</v>
      </c>
      <c r="I4" s="3" t="s">
        <v>9</v>
      </c>
    </row>
    <row r="5" spans="1:9" ht="23.25" thickBot="1" x14ac:dyDescent="0.3">
      <c r="A5" s="4" t="s">
        <v>15</v>
      </c>
      <c r="B5" s="3">
        <v>14.25</v>
      </c>
      <c r="C5" s="3">
        <v>7.0000000000000007E-2</v>
      </c>
      <c r="D5" s="3">
        <v>11.33</v>
      </c>
      <c r="E5" s="3">
        <v>0.14000000000000001</v>
      </c>
      <c r="F5" s="3">
        <v>16.5</v>
      </c>
      <c r="G5" s="3">
        <v>0.71</v>
      </c>
      <c r="H5" s="3">
        <v>15.75</v>
      </c>
      <c r="I5" s="3">
        <v>0.6</v>
      </c>
    </row>
    <row r="6" spans="1:9" ht="23.25" thickBot="1" x14ac:dyDescent="0.3">
      <c r="A6" s="4" t="s">
        <v>16</v>
      </c>
      <c r="B6" s="3">
        <v>10.83</v>
      </c>
      <c r="C6" s="3">
        <v>0.34</v>
      </c>
      <c r="D6" s="3">
        <v>10.210000000000001</v>
      </c>
      <c r="E6" s="3">
        <v>0.05</v>
      </c>
      <c r="F6" s="3">
        <v>13.57</v>
      </c>
      <c r="G6" s="3">
        <v>0.81</v>
      </c>
      <c r="H6" s="3">
        <v>11.46</v>
      </c>
      <c r="I6" s="3">
        <v>0.09</v>
      </c>
    </row>
    <row r="7" spans="1:9" ht="45.75" thickBot="1" x14ac:dyDescent="0.3">
      <c r="A7" s="3" t="s">
        <v>10</v>
      </c>
      <c r="B7" s="3">
        <v>10.27</v>
      </c>
      <c r="C7" s="3">
        <v>0.18</v>
      </c>
      <c r="D7" s="3">
        <v>10.18</v>
      </c>
      <c r="E7" s="3">
        <v>0.01</v>
      </c>
      <c r="F7" s="5">
        <v>13.45</v>
      </c>
      <c r="G7" s="3" t="s">
        <v>9</v>
      </c>
      <c r="H7" s="3">
        <v>14.07</v>
      </c>
      <c r="I7" s="3">
        <v>1.52</v>
      </c>
    </row>
    <row r="8" spans="1:9" ht="45.75" thickBot="1" x14ac:dyDescent="0.3">
      <c r="A8" s="3" t="s">
        <v>11</v>
      </c>
      <c r="B8" s="3">
        <v>10.78</v>
      </c>
      <c r="C8" s="3">
        <v>0.39</v>
      </c>
      <c r="D8" s="3">
        <v>11.3</v>
      </c>
      <c r="E8" s="3">
        <v>0.21</v>
      </c>
      <c r="F8" s="3">
        <v>13.57</v>
      </c>
      <c r="G8" s="3">
        <v>0.81</v>
      </c>
      <c r="H8" s="3">
        <v>14.07</v>
      </c>
      <c r="I8" s="3">
        <v>1.52</v>
      </c>
    </row>
    <row r="9" spans="1:9" ht="45.75" thickBot="1" x14ac:dyDescent="0.3">
      <c r="A9" s="3" t="s">
        <v>12</v>
      </c>
      <c r="B9" s="3">
        <v>11.15</v>
      </c>
      <c r="C9" s="3">
        <v>0.06</v>
      </c>
      <c r="D9" s="3">
        <v>12.65</v>
      </c>
      <c r="E9" s="3">
        <v>0.49</v>
      </c>
      <c r="F9" s="3">
        <v>19</v>
      </c>
      <c r="G9" s="3">
        <v>2.83</v>
      </c>
      <c r="H9" s="3">
        <v>16.3</v>
      </c>
      <c r="I9" s="3">
        <v>2.62</v>
      </c>
    </row>
    <row r="10" spans="1:9" ht="45.75" thickBot="1" x14ac:dyDescent="0.3">
      <c r="A10" s="3" t="s">
        <v>13</v>
      </c>
      <c r="B10" s="3">
        <v>12.22</v>
      </c>
      <c r="C10" s="3">
        <v>0.1</v>
      </c>
      <c r="D10" s="5">
        <v>12.45</v>
      </c>
      <c r="E10" s="3" t="s">
        <v>9</v>
      </c>
      <c r="F10" s="3">
        <v>15.95</v>
      </c>
      <c r="G10" s="3">
        <v>3.55</v>
      </c>
      <c r="H10" s="3">
        <v>14.8</v>
      </c>
      <c r="I10" s="3">
        <v>0.49</v>
      </c>
    </row>
  </sheetData>
  <mergeCells count="7">
    <mergeCell ref="I1:I2"/>
    <mergeCell ref="A1:A2"/>
    <mergeCell ref="C1:C2"/>
    <mergeCell ref="E1:E2"/>
    <mergeCell ref="F1:F2"/>
    <mergeCell ref="G1:G2"/>
    <mergeCell ref="H1:H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4547F-E91E-464C-8913-C301EF7B396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E56A9-CF13-4D79-BEB0-71DF90E203BB}">
  <dimension ref="A1:P34"/>
  <sheetViews>
    <sheetView topLeftCell="A4" zoomScale="130" zoomScaleNormal="130" workbookViewId="0">
      <selection activeCell="A17" sqref="A17"/>
    </sheetView>
  </sheetViews>
  <sheetFormatPr defaultRowHeight="15" x14ac:dyDescent="0.25"/>
  <cols>
    <col min="1" max="1" width="17" bestFit="1" customWidth="1"/>
    <col min="5" max="5" width="10.42578125" bestFit="1" customWidth="1"/>
  </cols>
  <sheetData>
    <row r="1" spans="1:7" x14ac:dyDescent="0.25">
      <c r="A1" s="8"/>
      <c r="B1" s="8" t="s">
        <v>17</v>
      </c>
      <c r="C1" s="8"/>
      <c r="D1" s="8"/>
      <c r="E1" s="8"/>
      <c r="F1" s="8"/>
      <c r="G1" s="8"/>
    </row>
    <row r="2" spans="1:7" x14ac:dyDescent="0.25">
      <c r="A2" s="8"/>
      <c r="B2" s="8" t="s">
        <v>18</v>
      </c>
      <c r="C2" s="8"/>
      <c r="D2" s="8"/>
      <c r="E2" s="8"/>
      <c r="F2" s="8"/>
      <c r="G2" s="8"/>
    </row>
    <row r="3" spans="1:7" x14ac:dyDescent="0.25">
      <c r="A3" s="8" t="s">
        <v>67</v>
      </c>
      <c r="B3" s="15" t="s">
        <v>19</v>
      </c>
      <c r="C3" s="16" t="s">
        <v>20</v>
      </c>
      <c r="D3" s="15" t="s">
        <v>21</v>
      </c>
      <c r="E3" s="15" t="s">
        <v>22</v>
      </c>
      <c r="F3" s="15" t="s">
        <v>23</v>
      </c>
      <c r="G3" s="15" t="s">
        <v>24</v>
      </c>
    </row>
    <row r="4" spans="1:7" x14ac:dyDescent="0.25">
      <c r="A4" s="8">
        <v>1</v>
      </c>
      <c r="B4" s="8" t="s">
        <v>9</v>
      </c>
      <c r="C4" s="9" t="s">
        <v>9</v>
      </c>
      <c r="D4" s="8" t="s">
        <v>9</v>
      </c>
      <c r="E4" s="8" t="s">
        <v>9</v>
      </c>
      <c r="F4" s="8" t="s">
        <v>25</v>
      </c>
      <c r="G4" s="8" t="s">
        <v>9</v>
      </c>
    </row>
    <row r="5" spans="1:7" x14ac:dyDescent="0.25">
      <c r="A5" s="8">
        <v>1</v>
      </c>
      <c r="B5" s="8" t="s">
        <v>9</v>
      </c>
      <c r="C5" s="9">
        <v>17.3</v>
      </c>
      <c r="D5" s="8" t="s">
        <v>9</v>
      </c>
      <c r="E5" s="8" t="s">
        <v>9</v>
      </c>
      <c r="F5" s="8" t="s">
        <v>25</v>
      </c>
      <c r="G5" s="8" t="s">
        <v>9</v>
      </c>
    </row>
    <row r="6" spans="1:7" x14ac:dyDescent="0.25">
      <c r="A6" s="8">
        <v>5</v>
      </c>
      <c r="B6" s="8" t="s">
        <v>9</v>
      </c>
      <c r="C6" s="9" t="s">
        <v>9</v>
      </c>
      <c r="D6" s="8" t="s">
        <v>9</v>
      </c>
      <c r="E6" s="8" t="s">
        <v>9</v>
      </c>
      <c r="F6" s="8" t="s">
        <v>9</v>
      </c>
      <c r="G6" s="8" t="s">
        <v>9</v>
      </c>
    </row>
    <row r="7" spans="1:7" x14ac:dyDescent="0.25">
      <c r="A7" s="8">
        <v>5</v>
      </c>
      <c r="B7" s="8" t="s">
        <v>9</v>
      </c>
      <c r="C7" s="9" t="s">
        <v>9</v>
      </c>
      <c r="D7" s="8" t="s">
        <v>9</v>
      </c>
      <c r="E7" s="8" t="s">
        <v>9</v>
      </c>
      <c r="F7" s="8" t="s">
        <v>9</v>
      </c>
      <c r="G7" s="8" t="s">
        <v>9</v>
      </c>
    </row>
    <row r="8" spans="1:7" x14ac:dyDescent="0.25">
      <c r="A8" s="8">
        <v>10</v>
      </c>
      <c r="B8" s="8" t="s">
        <v>9</v>
      </c>
      <c r="C8" s="9">
        <v>14.3</v>
      </c>
      <c r="D8" s="8" t="s">
        <v>9</v>
      </c>
      <c r="E8" s="8" t="s">
        <v>9</v>
      </c>
      <c r="F8" s="8" t="s">
        <v>9</v>
      </c>
      <c r="G8" s="8" t="s">
        <v>9</v>
      </c>
    </row>
    <row r="9" spans="1:7" x14ac:dyDescent="0.25">
      <c r="A9" s="8">
        <v>10</v>
      </c>
      <c r="B9" s="8" t="s">
        <v>9</v>
      </c>
      <c r="C9" s="9">
        <v>16.149999999999999</v>
      </c>
      <c r="D9" s="8" t="s">
        <v>9</v>
      </c>
      <c r="E9" s="8">
        <v>15</v>
      </c>
      <c r="F9" s="8" t="s">
        <v>9</v>
      </c>
      <c r="G9" s="8" t="s">
        <v>9</v>
      </c>
    </row>
    <row r="10" spans="1:7" x14ac:dyDescent="0.25">
      <c r="A10" s="8">
        <v>20</v>
      </c>
      <c r="B10" s="8" t="s">
        <v>9</v>
      </c>
      <c r="C10" s="9" t="s">
        <v>9</v>
      </c>
      <c r="D10" s="8">
        <v>13</v>
      </c>
      <c r="E10" s="8">
        <v>15.15</v>
      </c>
      <c r="F10" s="8" t="s">
        <v>9</v>
      </c>
      <c r="G10" s="8" t="s">
        <v>9</v>
      </c>
    </row>
    <row r="11" spans="1:7" x14ac:dyDescent="0.25">
      <c r="A11" s="8">
        <v>20</v>
      </c>
      <c r="B11" s="8">
        <v>17.3</v>
      </c>
      <c r="C11" s="9">
        <v>18.3</v>
      </c>
      <c r="D11" s="8">
        <v>11.45</v>
      </c>
      <c r="E11" s="8">
        <v>16</v>
      </c>
      <c r="F11" s="8" t="s">
        <v>9</v>
      </c>
      <c r="G11" s="8" t="s">
        <v>9</v>
      </c>
    </row>
    <row r="12" spans="1:7" x14ac:dyDescent="0.25">
      <c r="A12" s="8">
        <v>50</v>
      </c>
      <c r="B12" s="8" t="s">
        <v>9</v>
      </c>
      <c r="C12" s="9">
        <v>15</v>
      </c>
      <c r="D12" s="8">
        <v>14.3</v>
      </c>
      <c r="E12" s="8">
        <v>13.3</v>
      </c>
      <c r="F12" s="8" t="s">
        <v>9</v>
      </c>
      <c r="G12" s="8" t="s">
        <v>9</v>
      </c>
    </row>
    <row r="13" spans="1:7" x14ac:dyDescent="0.25">
      <c r="A13" s="8">
        <v>50</v>
      </c>
      <c r="B13" s="8" t="s">
        <v>9</v>
      </c>
      <c r="C13" s="9" t="s">
        <v>9</v>
      </c>
      <c r="D13" s="8">
        <v>15.45</v>
      </c>
      <c r="E13" s="8">
        <v>14.15</v>
      </c>
      <c r="F13" s="8" t="s">
        <v>9</v>
      </c>
      <c r="G13" s="8"/>
    </row>
    <row r="14" spans="1:7" x14ac:dyDescent="0.25">
      <c r="A14" s="8" t="s">
        <v>26</v>
      </c>
      <c r="B14" s="8">
        <v>10.15</v>
      </c>
      <c r="C14" s="9">
        <v>10</v>
      </c>
      <c r="D14" s="8">
        <v>10</v>
      </c>
      <c r="E14" s="8">
        <v>11</v>
      </c>
      <c r="F14" s="8">
        <v>9.4499999999999993</v>
      </c>
      <c r="G14" s="8">
        <v>10.3</v>
      </c>
    </row>
    <row r="15" spans="1:7" x14ac:dyDescent="0.25">
      <c r="A15" s="8" t="s">
        <v>26</v>
      </c>
      <c r="B15" s="8">
        <v>10.3</v>
      </c>
      <c r="C15" s="9">
        <v>10</v>
      </c>
      <c r="D15" s="8">
        <v>10.15</v>
      </c>
      <c r="E15" s="8">
        <v>10.45</v>
      </c>
      <c r="F15" s="8">
        <v>10</v>
      </c>
      <c r="G15" s="8">
        <v>10.3</v>
      </c>
    </row>
    <row r="16" spans="1:7" x14ac:dyDescent="0.25">
      <c r="A16" s="8" t="s">
        <v>68</v>
      </c>
      <c r="B16" s="10" t="s">
        <v>27</v>
      </c>
      <c r="C16" s="10" t="s">
        <v>28</v>
      </c>
      <c r="D16" s="10" t="s">
        <v>29</v>
      </c>
      <c r="E16" s="10" t="s">
        <v>30</v>
      </c>
      <c r="F16" s="10" t="s">
        <v>31</v>
      </c>
      <c r="G16" s="10" t="s">
        <v>32</v>
      </c>
    </row>
    <row r="18" spans="1:16" x14ac:dyDescent="0.25">
      <c r="B18" s="8"/>
    </row>
    <row r="19" spans="1:16" x14ac:dyDescent="0.25">
      <c r="B19" s="8"/>
    </row>
    <row r="20" spans="1:16" x14ac:dyDescent="0.25">
      <c r="A20" s="8"/>
      <c r="B20" s="15" t="s">
        <v>19</v>
      </c>
      <c r="C20" s="16" t="s">
        <v>20</v>
      </c>
      <c r="D20" s="15" t="s">
        <v>21</v>
      </c>
      <c r="E20" s="15" t="s">
        <v>22</v>
      </c>
      <c r="F20" s="15" t="s">
        <v>23</v>
      </c>
      <c r="G20" s="15" t="s">
        <v>24</v>
      </c>
    </row>
    <row r="22" spans="1:16" x14ac:dyDescent="0.25">
      <c r="A22" s="8">
        <v>1</v>
      </c>
      <c r="B22" t="e">
        <f>AVERAGE(B4:B5)</f>
        <v>#DIV/0!</v>
      </c>
      <c r="C22">
        <f t="shared" ref="C22:G22" si="0">AVERAGE(C4:C5)</f>
        <v>17.3</v>
      </c>
      <c r="D22" t="e">
        <f t="shared" si="0"/>
        <v>#DIV/0!</v>
      </c>
      <c r="E22" t="e">
        <f t="shared" si="0"/>
        <v>#DIV/0!</v>
      </c>
      <c r="F22" t="e">
        <f t="shared" si="0"/>
        <v>#DIV/0!</v>
      </c>
      <c r="G22" t="e">
        <f t="shared" si="0"/>
        <v>#DIV/0!</v>
      </c>
    </row>
    <row r="23" spans="1:16" x14ac:dyDescent="0.25">
      <c r="A23" s="8">
        <v>5</v>
      </c>
      <c r="B23" t="e">
        <f>AVERAGE(B6:B7)</f>
        <v>#DIV/0!</v>
      </c>
      <c r="C23" t="e">
        <f t="shared" ref="C23:G23" si="1">AVERAGE(C6:C7)</f>
        <v>#DIV/0!</v>
      </c>
      <c r="D23" t="e">
        <f t="shared" si="1"/>
        <v>#DIV/0!</v>
      </c>
      <c r="E23" t="e">
        <f t="shared" si="1"/>
        <v>#DIV/0!</v>
      </c>
      <c r="F23" t="e">
        <f t="shared" si="1"/>
        <v>#DIV/0!</v>
      </c>
      <c r="G23" t="e">
        <f t="shared" si="1"/>
        <v>#DIV/0!</v>
      </c>
    </row>
    <row r="24" spans="1:16" x14ac:dyDescent="0.25">
      <c r="A24" s="8">
        <v>10</v>
      </c>
      <c r="B24" t="e">
        <f>AVERAGE(B8:B9)</f>
        <v>#DIV/0!</v>
      </c>
      <c r="C24" s="11">
        <f t="shared" ref="C24:G24" si="2">AVERAGE(C8:C9)</f>
        <v>15.225</v>
      </c>
      <c r="D24" t="e">
        <f t="shared" si="2"/>
        <v>#DIV/0!</v>
      </c>
      <c r="E24" s="11">
        <f t="shared" si="2"/>
        <v>15</v>
      </c>
      <c r="F24" t="e">
        <f t="shared" si="2"/>
        <v>#DIV/0!</v>
      </c>
      <c r="G24" t="e">
        <f t="shared" si="2"/>
        <v>#DIV/0!</v>
      </c>
    </row>
    <row r="25" spans="1:16" x14ac:dyDescent="0.25">
      <c r="A25" s="8">
        <v>20</v>
      </c>
      <c r="B25" s="11">
        <f>AVERAGE(B10:B11)</f>
        <v>17.3</v>
      </c>
      <c r="C25" s="11">
        <f t="shared" ref="C25:G25" si="3">AVERAGE(C10:C11)</f>
        <v>18.3</v>
      </c>
      <c r="D25" s="11">
        <f t="shared" si="3"/>
        <v>12.225</v>
      </c>
      <c r="E25" s="11">
        <f t="shared" si="3"/>
        <v>15.574999999999999</v>
      </c>
      <c r="F25" t="e">
        <f t="shared" si="3"/>
        <v>#DIV/0!</v>
      </c>
      <c r="G25" t="e">
        <f t="shared" si="3"/>
        <v>#DIV/0!</v>
      </c>
    </row>
    <row r="26" spans="1:16" x14ac:dyDescent="0.25">
      <c r="A26" s="8">
        <v>50</v>
      </c>
      <c r="B26" t="e">
        <f>AVERAGE(B12:B13)</f>
        <v>#DIV/0!</v>
      </c>
      <c r="C26" s="11">
        <f t="shared" ref="C26:G26" si="4">AVERAGE(C12:C13)</f>
        <v>15</v>
      </c>
      <c r="D26" s="11">
        <f t="shared" si="4"/>
        <v>14.875</v>
      </c>
      <c r="E26" s="11">
        <f t="shared" si="4"/>
        <v>13.725000000000001</v>
      </c>
      <c r="F26" t="e">
        <f t="shared" si="4"/>
        <v>#DIV/0!</v>
      </c>
      <c r="G26" t="e">
        <f t="shared" si="4"/>
        <v>#DIV/0!</v>
      </c>
    </row>
    <row r="27" spans="1:16" x14ac:dyDescent="0.25">
      <c r="A27" s="8" t="s">
        <v>33</v>
      </c>
    </row>
    <row r="28" spans="1:16" x14ac:dyDescent="0.25">
      <c r="A28" s="8"/>
      <c r="B28" s="15" t="s">
        <v>19</v>
      </c>
      <c r="C28" s="16" t="s">
        <v>20</v>
      </c>
      <c r="D28" s="15" t="s">
        <v>21</v>
      </c>
      <c r="E28" s="15" t="s">
        <v>22</v>
      </c>
      <c r="F28" s="15" t="s">
        <v>23</v>
      </c>
      <c r="G28" s="15" t="s">
        <v>24</v>
      </c>
      <c r="J28" s="8"/>
      <c r="K28" s="8"/>
      <c r="L28" s="9"/>
      <c r="M28" s="8"/>
      <c r="N28" s="8"/>
      <c r="O28" s="8"/>
      <c r="P28" s="8"/>
    </row>
    <row r="29" spans="1:16" x14ac:dyDescent="0.25">
      <c r="J29" s="8"/>
    </row>
    <row r="30" spans="1:16" x14ac:dyDescent="0.25">
      <c r="A30" s="8">
        <v>1</v>
      </c>
      <c r="B30" t="e">
        <f>_xlfn.STDEV.S(B4:B5)</f>
        <v>#DIV/0!</v>
      </c>
      <c r="C30" t="e">
        <f t="shared" ref="C30:G30" si="5">_xlfn.STDEV.S(C4:C5)/SQRT(1)</f>
        <v>#DIV/0!</v>
      </c>
      <c r="D30" t="e">
        <f t="shared" si="5"/>
        <v>#DIV/0!</v>
      </c>
      <c r="E30" t="e">
        <f t="shared" si="5"/>
        <v>#DIV/0!</v>
      </c>
      <c r="F30" t="e">
        <f t="shared" si="5"/>
        <v>#DIV/0!</v>
      </c>
      <c r="G30" t="e">
        <f t="shared" si="5"/>
        <v>#DIV/0!</v>
      </c>
      <c r="J30" s="8"/>
    </row>
    <row r="31" spans="1:16" x14ac:dyDescent="0.25">
      <c r="A31" s="8">
        <v>5</v>
      </c>
      <c r="B31" t="e">
        <f>_xlfn.STDEV.S(B6:B7)/SQRT(1)</f>
        <v>#DIV/0!</v>
      </c>
      <c r="C31" t="e">
        <f t="shared" ref="C31:G31" si="6">_xlfn.STDEV.S(C6:C7)/SQRT(1)</f>
        <v>#DIV/0!</v>
      </c>
      <c r="D31" t="e">
        <f t="shared" si="6"/>
        <v>#DIV/0!</v>
      </c>
      <c r="E31" t="e">
        <f t="shared" si="6"/>
        <v>#DIV/0!</v>
      </c>
      <c r="F31" t="e">
        <f t="shared" si="6"/>
        <v>#DIV/0!</v>
      </c>
      <c r="G31" t="e">
        <f t="shared" si="6"/>
        <v>#DIV/0!</v>
      </c>
      <c r="J31" s="8"/>
    </row>
    <row r="32" spans="1:16" x14ac:dyDescent="0.25">
      <c r="A32" s="8">
        <v>10</v>
      </c>
      <c r="B32" t="e">
        <f>_xlfn.STDEV.S(B8:B9)/SQRT(1)</f>
        <v>#DIV/0!</v>
      </c>
      <c r="C32">
        <f>_xlfn.STDEV.S(C8:C9)</f>
        <v>1.3081475451951114</v>
      </c>
      <c r="D32" t="e">
        <f t="shared" ref="D32:G32" si="7">_xlfn.STDEV.S(D8:D9)/SQRT(1)</f>
        <v>#DIV/0!</v>
      </c>
      <c r="E32" t="e">
        <f t="shared" si="7"/>
        <v>#DIV/0!</v>
      </c>
      <c r="F32" t="e">
        <f t="shared" si="7"/>
        <v>#DIV/0!</v>
      </c>
      <c r="G32" t="e">
        <f t="shared" si="7"/>
        <v>#DIV/0!</v>
      </c>
      <c r="J32" s="8"/>
    </row>
    <row r="33" spans="1:10" x14ac:dyDescent="0.25">
      <c r="A33" s="8">
        <v>20</v>
      </c>
      <c r="B33" t="e">
        <f>_xlfn.STDEV.S(B10:B11)/SQRT(1)</f>
        <v>#DIV/0!</v>
      </c>
      <c r="C33" t="e">
        <f t="shared" ref="C33:G33" si="8">_xlfn.STDEV.S(C10:C11)/SQRT(1)</f>
        <v>#DIV/0!</v>
      </c>
      <c r="D33">
        <f>_xlfn.STDEV.S(D10:D11)</f>
        <v>1.0960155108391492</v>
      </c>
      <c r="E33">
        <f>_xlfn.STDEV.S(E10:E11)</f>
        <v>0.6010407640085651</v>
      </c>
      <c r="F33" t="e">
        <f t="shared" si="8"/>
        <v>#DIV/0!</v>
      </c>
      <c r="G33" t="e">
        <f t="shared" si="8"/>
        <v>#DIV/0!</v>
      </c>
      <c r="J33" s="8"/>
    </row>
    <row r="34" spans="1:10" x14ac:dyDescent="0.25">
      <c r="A34" s="8">
        <v>50</v>
      </c>
      <c r="B34" t="e">
        <f>_xlfn.STDEV.S(B12:B13)/SQRT(1)</f>
        <v>#DIV/0!</v>
      </c>
      <c r="C34" t="e">
        <f t="shared" ref="C34:G34" si="9">_xlfn.STDEV.S(C12:C13)/SQRT(1)</f>
        <v>#DIV/0!</v>
      </c>
      <c r="D34">
        <f>_xlfn.STDEV.S(D12:D13)</f>
        <v>0.8131727983645286</v>
      </c>
      <c r="E34">
        <f>_xlfn.STDEV.S(E12:E13)</f>
        <v>0.6010407640085651</v>
      </c>
      <c r="F34" t="e">
        <f t="shared" si="9"/>
        <v>#DIV/0!</v>
      </c>
      <c r="G34" t="e">
        <f t="shared" si="9"/>
        <v>#DIV/0!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DAF16-2C2A-4611-8FBF-03851B3A1F86}">
  <dimension ref="A1:W45"/>
  <sheetViews>
    <sheetView workbookViewId="0">
      <selection activeCell="W45" sqref="W45"/>
    </sheetView>
  </sheetViews>
  <sheetFormatPr defaultRowHeight="15" x14ac:dyDescent="0.25"/>
  <sheetData>
    <row r="1" spans="1:17" x14ac:dyDescent="0.25">
      <c r="A1" t="s">
        <v>34</v>
      </c>
      <c r="G1" t="s">
        <v>34</v>
      </c>
      <c r="M1" t="s">
        <v>34</v>
      </c>
    </row>
    <row r="2" spans="1:17" x14ac:dyDescent="0.25">
      <c r="A2" t="s">
        <v>2</v>
      </c>
      <c r="B2">
        <v>15.45</v>
      </c>
      <c r="D2" t="s">
        <v>66</v>
      </c>
      <c r="E2">
        <v>10</v>
      </c>
      <c r="G2" t="s">
        <v>2</v>
      </c>
      <c r="H2">
        <v>13</v>
      </c>
      <c r="J2" t="s">
        <v>66</v>
      </c>
      <c r="K2">
        <v>10.3</v>
      </c>
      <c r="M2" t="s">
        <v>2</v>
      </c>
      <c r="N2">
        <v>17.45</v>
      </c>
      <c r="P2" t="s">
        <v>66</v>
      </c>
      <c r="Q2">
        <v>11</v>
      </c>
    </row>
    <row r="3" spans="1:17" x14ac:dyDescent="0.25">
      <c r="A3" t="s">
        <v>2</v>
      </c>
      <c r="B3">
        <v>10.3</v>
      </c>
      <c r="E3">
        <v>11.3</v>
      </c>
      <c r="G3" t="s">
        <v>2</v>
      </c>
      <c r="H3">
        <v>13.15</v>
      </c>
      <c r="K3">
        <v>10.3</v>
      </c>
      <c r="M3" t="s">
        <v>2</v>
      </c>
      <c r="N3">
        <v>13.15</v>
      </c>
      <c r="Q3">
        <v>10.45</v>
      </c>
    </row>
    <row r="4" spans="1:17" x14ac:dyDescent="0.25">
      <c r="A4" t="s">
        <v>4</v>
      </c>
      <c r="B4">
        <v>15.15</v>
      </c>
      <c r="G4" t="s">
        <v>4</v>
      </c>
      <c r="H4">
        <v>14.45</v>
      </c>
      <c r="M4" t="s">
        <v>4</v>
      </c>
      <c r="N4">
        <v>14</v>
      </c>
    </row>
    <row r="5" spans="1:17" x14ac:dyDescent="0.25">
      <c r="A5" t="s">
        <v>4</v>
      </c>
      <c r="B5">
        <v>11.15</v>
      </c>
      <c r="G5" t="s">
        <v>4</v>
      </c>
      <c r="H5">
        <v>14.45</v>
      </c>
      <c r="M5" t="s">
        <v>4</v>
      </c>
      <c r="N5">
        <v>21.15</v>
      </c>
    </row>
    <row r="6" spans="1:17" x14ac:dyDescent="0.25">
      <c r="A6" t="s">
        <v>35</v>
      </c>
      <c r="B6">
        <v>12.45</v>
      </c>
      <c r="G6" t="s">
        <v>35</v>
      </c>
      <c r="H6">
        <v>15.45</v>
      </c>
      <c r="M6" t="s">
        <v>35</v>
      </c>
      <c r="N6">
        <v>16</v>
      </c>
    </row>
    <row r="7" spans="1:17" x14ac:dyDescent="0.25">
      <c r="A7" t="s">
        <v>35</v>
      </c>
      <c r="B7">
        <v>12</v>
      </c>
      <c r="G7" t="s">
        <v>35</v>
      </c>
      <c r="H7">
        <v>15</v>
      </c>
      <c r="M7" t="s">
        <v>35</v>
      </c>
      <c r="N7">
        <v>18</v>
      </c>
    </row>
    <row r="8" spans="1:17" x14ac:dyDescent="0.25">
      <c r="A8" t="s">
        <v>36</v>
      </c>
      <c r="B8">
        <v>12.15</v>
      </c>
      <c r="G8" t="s">
        <v>36</v>
      </c>
      <c r="H8">
        <v>14.3</v>
      </c>
      <c r="M8" t="s">
        <v>36</v>
      </c>
      <c r="N8">
        <v>0</v>
      </c>
    </row>
    <row r="9" spans="1:17" x14ac:dyDescent="0.25">
      <c r="A9" t="s">
        <v>36</v>
      </c>
      <c r="B9">
        <v>11.3</v>
      </c>
      <c r="G9" t="s">
        <v>36</v>
      </c>
      <c r="H9">
        <v>20.149999999999999</v>
      </c>
      <c r="M9" t="s">
        <v>36</v>
      </c>
      <c r="N9">
        <v>0</v>
      </c>
    </row>
    <row r="11" spans="1:17" x14ac:dyDescent="0.25">
      <c r="B11" t="s">
        <v>37</v>
      </c>
      <c r="C11" t="s">
        <v>38</v>
      </c>
      <c r="H11" t="s">
        <v>37</v>
      </c>
      <c r="I11" t="s">
        <v>38</v>
      </c>
      <c r="N11" t="s">
        <v>37</v>
      </c>
      <c r="O11" t="s">
        <v>38</v>
      </c>
    </row>
    <row r="12" spans="1:17" x14ac:dyDescent="0.25">
      <c r="A12" t="s">
        <v>2</v>
      </c>
      <c r="B12" s="11">
        <f>AVERAGE(B2:B3)</f>
        <v>12.875</v>
      </c>
      <c r="C12" s="11">
        <f>_xlfn.STDEV.S(B2:B3)</f>
        <v>3.6415999231107223</v>
      </c>
      <c r="G12" t="s">
        <v>2</v>
      </c>
      <c r="H12" s="11">
        <f>AVERAGE(H2:H3)</f>
        <v>13.074999999999999</v>
      </c>
      <c r="I12" s="11">
        <f>_xlfn.STDEV.S(H2:H3)</f>
        <v>0.10606601717798238</v>
      </c>
      <c r="M12" t="s">
        <v>2</v>
      </c>
      <c r="N12" s="11">
        <f>AVERAGE(N2:N3)</f>
        <v>15.3</v>
      </c>
      <c r="O12" s="11">
        <f>_xlfn.STDEV.S(N2:N3)</f>
        <v>3.0405591591021457</v>
      </c>
      <c r="P12">
        <f>O12/N12*100</f>
        <v>19.872935680406183</v>
      </c>
    </row>
    <row r="13" spans="1:17" x14ac:dyDescent="0.25">
      <c r="A13" t="s">
        <v>4</v>
      </c>
      <c r="B13" s="11">
        <f>AVERAGE(B4:B5)</f>
        <v>13.15</v>
      </c>
      <c r="C13" s="11">
        <f>_xlfn.STDEV.S(B4:B5)</f>
        <v>2.8284271247461903</v>
      </c>
      <c r="G13" t="s">
        <v>4</v>
      </c>
      <c r="H13" s="11">
        <f>AVERAGE(H4:H5)</f>
        <v>14.45</v>
      </c>
      <c r="I13" s="11">
        <f>_xlfn.STDEV.S(H4:H5)</f>
        <v>0</v>
      </c>
      <c r="M13" t="s">
        <v>4</v>
      </c>
      <c r="N13" s="11">
        <f>AVERAGE(N4:N5)</f>
        <v>17.574999999999999</v>
      </c>
      <c r="O13" s="11">
        <f>_xlfn.STDEV.S(N4:N5)</f>
        <v>5.0558134854838235</v>
      </c>
      <c r="P13">
        <f t="shared" ref="P13:P15" si="0">O13/N13*100</f>
        <v>28.767075308585056</v>
      </c>
    </row>
    <row r="14" spans="1:17" x14ac:dyDescent="0.25">
      <c r="A14" t="s">
        <v>35</v>
      </c>
      <c r="B14" s="11">
        <f>AVERAGE(B6:B7)</f>
        <v>12.225</v>
      </c>
      <c r="C14" s="11">
        <f>_xlfn.STDEV.S(B6:B7)</f>
        <v>0.31819805153394587</v>
      </c>
      <c r="G14" t="s">
        <v>35</v>
      </c>
      <c r="H14" s="11">
        <f>AVERAGE(H6:H7)</f>
        <v>15.225</v>
      </c>
      <c r="I14" s="11">
        <f>_xlfn.STDEV.S(H6:H7)</f>
        <v>0.31819805153394587</v>
      </c>
      <c r="M14" t="s">
        <v>35</v>
      </c>
      <c r="N14" s="11">
        <f>AVERAGE(N6:N7)</f>
        <v>17</v>
      </c>
      <c r="O14" s="11">
        <f>_xlfn.STDEV.S(N6:N7)</f>
        <v>1.4142135623730951</v>
      </c>
      <c r="P14">
        <f t="shared" si="0"/>
        <v>8.3189033080770294</v>
      </c>
    </row>
    <row r="15" spans="1:17" x14ac:dyDescent="0.25">
      <c r="A15" t="s">
        <v>36</v>
      </c>
      <c r="B15" s="11">
        <f>AVERAGE(B8:B9)</f>
        <v>11.725000000000001</v>
      </c>
      <c r="C15" s="11">
        <f>_xlfn.STDEV.S(B8:B9)</f>
        <v>0.6010407640085651</v>
      </c>
      <c r="G15" t="s">
        <v>36</v>
      </c>
      <c r="H15" s="11">
        <f>AVERAGE(H8:H9)</f>
        <v>17.225000000000001</v>
      </c>
      <c r="I15" s="11">
        <f>_xlfn.STDEV.S(H8:H9)</f>
        <v>4.1365746699412806</v>
      </c>
      <c r="M15" t="s">
        <v>36</v>
      </c>
      <c r="N15" s="11">
        <f>AVERAGE(N8:N9)</f>
        <v>0</v>
      </c>
      <c r="O15" s="11">
        <f>_xlfn.STDEV.S(N8:N9)</f>
        <v>0</v>
      </c>
      <c r="P15" t="e">
        <f t="shared" si="0"/>
        <v>#DIV/0!</v>
      </c>
    </row>
    <row r="16" spans="1:17" x14ac:dyDescent="0.25">
      <c r="A16" s="12" t="s">
        <v>39</v>
      </c>
      <c r="B16">
        <f>AVERAGE(E2:E3)</f>
        <v>10.65</v>
      </c>
      <c r="C16" s="11">
        <f>_xlfn.STDEV.S(E2:E3)</f>
        <v>0.9192388155425123</v>
      </c>
      <c r="G16" s="12" t="s">
        <v>39</v>
      </c>
      <c r="H16">
        <f>AVERAGE(K2:K3)</f>
        <v>10.3</v>
      </c>
      <c r="I16" s="11">
        <f>_xlfn.STDEV.S(K2:K3)</f>
        <v>0</v>
      </c>
      <c r="M16" s="12" t="s">
        <v>39</v>
      </c>
      <c r="N16">
        <f>AVERAGE(Q2:Q3)</f>
        <v>10.725</v>
      </c>
      <c r="O16" s="11">
        <f>_xlfn.STDEV.S(Q2:Q3)</f>
        <v>0.38890872965260165</v>
      </c>
    </row>
    <row r="18" spans="1:18" x14ac:dyDescent="0.25">
      <c r="A18" s="12" t="s">
        <v>40</v>
      </c>
      <c r="G18" s="12" t="s">
        <v>41</v>
      </c>
      <c r="H18" t="s">
        <v>42</v>
      </c>
      <c r="M18" s="12" t="s">
        <v>43</v>
      </c>
      <c r="N18" t="s">
        <v>44</v>
      </c>
    </row>
    <row r="19" spans="1:18" x14ac:dyDescent="0.25">
      <c r="A19" s="12" t="s">
        <v>45</v>
      </c>
      <c r="G19" s="12"/>
      <c r="M19" t="s">
        <v>46</v>
      </c>
      <c r="N19" t="s">
        <v>47</v>
      </c>
      <c r="O19">
        <v>10</v>
      </c>
      <c r="P19" t="s">
        <v>48</v>
      </c>
      <c r="Q19">
        <f>Q22+O19</f>
        <v>250010</v>
      </c>
    </row>
    <row r="20" spans="1:18" x14ac:dyDescent="0.25">
      <c r="N20" t="s">
        <v>49</v>
      </c>
      <c r="O20">
        <v>100</v>
      </c>
      <c r="P20" t="s">
        <v>50</v>
      </c>
      <c r="Q20">
        <f>(O20*O19)/Q19</f>
        <v>3.9998400063997437E-3</v>
      </c>
    </row>
    <row r="21" spans="1:18" x14ac:dyDescent="0.25">
      <c r="A21" t="s">
        <v>34</v>
      </c>
    </row>
    <row r="22" spans="1:18" x14ac:dyDescent="0.25">
      <c r="A22" t="s">
        <v>2</v>
      </c>
      <c r="B22">
        <v>15.45</v>
      </c>
      <c r="M22" t="s">
        <v>51</v>
      </c>
      <c r="Q22">
        <v>250000</v>
      </c>
    </row>
    <row r="23" spans="1:18" x14ac:dyDescent="0.25">
      <c r="A23" t="s">
        <v>2</v>
      </c>
      <c r="B23">
        <v>10.3</v>
      </c>
      <c r="M23" t="s">
        <v>52</v>
      </c>
      <c r="Q23" s="8" t="s">
        <v>53</v>
      </c>
      <c r="R23" s="8" t="s">
        <v>50</v>
      </c>
    </row>
    <row r="24" spans="1:18" x14ac:dyDescent="0.25">
      <c r="A24" t="s">
        <v>2</v>
      </c>
      <c r="B24">
        <v>13</v>
      </c>
      <c r="M24" t="s">
        <v>54</v>
      </c>
      <c r="Q24" s="8" t="s">
        <v>55</v>
      </c>
      <c r="R24" s="13">
        <v>3.9998400063997437E-3</v>
      </c>
    </row>
    <row r="25" spans="1:18" x14ac:dyDescent="0.25">
      <c r="A25" t="s">
        <v>2</v>
      </c>
      <c r="B25">
        <v>13.15</v>
      </c>
      <c r="M25" t="s">
        <v>56</v>
      </c>
      <c r="Q25" s="8">
        <v>0.5</v>
      </c>
      <c r="R25" s="13">
        <v>1.9999600007999841E-3</v>
      </c>
    </row>
    <row r="26" spans="1:18" x14ac:dyDescent="0.25">
      <c r="A26" t="s">
        <v>4</v>
      </c>
      <c r="B26">
        <v>15.15</v>
      </c>
      <c r="M26" t="s">
        <v>57</v>
      </c>
      <c r="Q26" s="8">
        <v>0.25</v>
      </c>
      <c r="R26" s="13">
        <v>9.9999000009999908E-4</v>
      </c>
    </row>
    <row r="27" spans="1:18" x14ac:dyDescent="0.25">
      <c r="A27" t="s">
        <v>4</v>
      </c>
      <c r="B27">
        <v>11.15</v>
      </c>
      <c r="M27" t="s">
        <v>58</v>
      </c>
      <c r="Q27" s="8">
        <v>0.125</v>
      </c>
      <c r="R27" s="13">
        <v>4.999975000124999E-4</v>
      </c>
    </row>
    <row r="28" spans="1:18" x14ac:dyDescent="0.25">
      <c r="A28" t="s">
        <v>4</v>
      </c>
      <c r="B28">
        <v>14.45</v>
      </c>
      <c r="E28" t="s">
        <v>37</v>
      </c>
      <c r="F28" t="s">
        <v>38</v>
      </c>
      <c r="G28" t="s">
        <v>59</v>
      </c>
    </row>
    <row r="29" spans="1:18" x14ac:dyDescent="0.25">
      <c r="A29" t="s">
        <v>4</v>
      </c>
      <c r="B29">
        <v>14.45</v>
      </c>
      <c r="D29" t="s">
        <v>2</v>
      </c>
      <c r="E29" s="11">
        <f>AVERAGE(B22:B25)</f>
        <v>12.975</v>
      </c>
      <c r="F29" s="11">
        <f>_xlfn.STDEV.S(B22:B25)</f>
        <v>2.1065374432940986</v>
      </c>
      <c r="G29">
        <f>F29/E29*100</f>
        <v>16.235356017680918</v>
      </c>
    </row>
    <row r="30" spans="1:18" x14ac:dyDescent="0.25">
      <c r="A30" t="s">
        <v>35</v>
      </c>
      <c r="B30">
        <v>12.45</v>
      </c>
      <c r="D30" t="s">
        <v>4</v>
      </c>
      <c r="E30" s="11">
        <f>AVERAGE(B26:B29)</f>
        <v>13.8</v>
      </c>
      <c r="F30" s="11">
        <f>_xlfn.STDEV.S(B26:B29)</f>
        <v>1.7972200755611374</v>
      </c>
      <c r="G30">
        <f t="shared" ref="G30:G32" si="1">F30/E30*100</f>
        <v>13.023333880877807</v>
      </c>
      <c r="M30" t="s">
        <v>60</v>
      </c>
    </row>
    <row r="31" spans="1:18" x14ac:dyDescent="0.25">
      <c r="A31" t="s">
        <v>35</v>
      </c>
      <c r="B31">
        <v>12</v>
      </c>
      <c r="D31" t="s">
        <v>35</v>
      </c>
      <c r="E31" s="11">
        <f>AVERAGE(B30:B33)</f>
        <v>13.725</v>
      </c>
      <c r="F31" s="11">
        <f>_xlfn.STDEV.S(B30:B33)</f>
        <v>1.7514279888136981</v>
      </c>
      <c r="G31">
        <f t="shared" si="1"/>
        <v>12.760859663487784</v>
      </c>
    </row>
    <row r="32" spans="1:18" x14ac:dyDescent="0.25">
      <c r="A32" t="s">
        <v>35</v>
      </c>
      <c r="B32">
        <v>15.45</v>
      </c>
      <c r="D32" t="s">
        <v>36</v>
      </c>
      <c r="E32" s="11">
        <f>AVERAGE(B34:B37)</f>
        <v>14.225</v>
      </c>
      <c r="F32" s="11">
        <f>_xlfn.STDEV.S(B34:B37)</f>
        <v>4.208028041731664</v>
      </c>
      <c r="G32">
        <f t="shared" si="1"/>
        <v>29.581919449783229</v>
      </c>
    </row>
    <row r="33" spans="1:23" x14ac:dyDescent="0.25">
      <c r="A33" t="s">
        <v>35</v>
      </c>
      <c r="B33">
        <v>15</v>
      </c>
      <c r="D33" s="12" t="s">
        <v>39</v>
      </c>
      <c r="E33" s="11">
        <f t="shared" ref="E33" si="2">AVERAGE(B26:B29)</f>
        <v>13.8</v>
      </c>
      <c r="F33" s="11">
        <f>_xlfn.STDEV.S(B38:B41)</f>
        <v>0.4860298344752102</v>
      </c>
    </row>
    <row r="34" spans="1:23" x14ac:dyDescent="0.25">
      <c r="A34" t="s">
        <v>36</v>
      </c>
      <c r="B34">
        <v>11.15</v>
      </c>
    </row>
    <row r="35" spans="1:23" x14ac:dyDescent="0.25">
      <c r="A35" t="s">
        <v>36</v>
      </c>
      <c r="B35">
        <v>11.3</v>
      </c>
    </row>
    <row r="36" spans="1:23" x14ac:dyDescent="0.25">
      <c r="A36" t="s">
        <v>36</v>
      </c>
      <c r="B36">
        <v>14.3</v>
      </c>
      <c r="R36" s="12" t="s">
        <v>61</v>
      </c>
      <c r="S36" t="s">
        <v>62</v>
      </c>
    </row>
    <row r="37" spans="1:23" x14ac:dyDescent="0.25">
      <c r="A37" t="s">
        <v>36</v>
      </c>
      <c r="B37">
        <v>20.149999999999999</v>
      </c>
      <c r="R37" t="s">
        <v>46</v>
      </c>
      <c r="S37" t="s">
        <v>47</v>
      </c>
      <c r="T37">
        <v>1.25</v>
      </c>
      <c r="U37" t="s">
        <v>48</v>
      </c>
      <c r="V37">
        <f>V40+T37</f>
        <v>50001.25</v>
      </c>
    </row>
    <row r="38" spans="1:23" x14ac:dyDescent="0.25">
      <c r="A38" t="s">
        <v>66</v>
      </c>
      <c r="B38">
        <v>10</v>
      </c>
      <c r="S38" t="s">
        <v>49</v>
      </c>
      <c r="T38">
        <v>100</v>
      </c>
      <c r="U38" t="s">
        <v>50</v>
      </c>
      <c r="V38">
        <f>(T38*T37)/V37</f>
        <v>2.4999375015624611E-3</v>
      </c>
    </row>
    <row r="39" spans="1:23" x14ac:dyDescent="0.25">
      <c r="A39" t="s">
        <v>66</v>
      </c>
      <c r="B39">
        <v>11.13</v>
      </c>
    </row>
    <row r="40" spans="1:23" x14ac:dyDescent="0.25">
      <c r="A40" t="s">
        <v>66</v>
      </c>
      <c r="B40">
        <v>10.3</v>
      </c>
      <c r="R40" t="s">
        <v>51</v>
      </c>
      <c r="V40">
        <v>50000</v>
      </c>
    </row>
    <row r="41" spans="1:23" x14ac:dyDescent="0.25">
      <c r="A41" t="s">
        <v>66</v>
      </c>
      <c r="B41">
        <v>10.3</v>
      </c>
      <c r="R41" t="s">
        <v>52</v>
      </c>
      <c r="V41" s="8" t="s">
        <v>53</v>
      </c>
      <c r="W41" s="8" t="s">
        <v>50</v>
      </c>
    </row>
    <row r="42" spans="1:23" x14ac:dyDescent="0.25">
      <c r="R42" t="s">
        <v>54</v>
      </c>
      <c r="V42" s="8" t="s">
        <v>55</v>
      </c>
      <c r="W42" s="13">
        <v>1.9996000799840031E-2</v>
      </c>
    </row>
    <row r="43" spans="1:23" x14ac:dyDescent="0.25">
      <c r="R43" t="s">
        <v>56</v>
      </c>
      <c r="V43" s="8">
        <v>0.5</v>
      </c>
      <c r="W43" s="13">
        <v>9.9990000999900016E-3</v>
      </c>
    </row>
    <row r="44" spans="1:23" x14ac:dyDescent="0.25">
      <c r="R44" t="s">
        <v>57</v>
      </c>
      <c r="V44" s="8">
        <v>0.25</v>
      </c>
      <c r="W44" s="13">
        <v>4.9997500124993747E-3</v>
      </c>
    </row>
    <row r="45" spans="1:23" x14ac:dyDescent="0.25">
      <c r="R45" t="s">
        <v>58</v>
      </c>
      <c r="V45" s="8">
        <v>0.125</v>
      </c>
      <c r="W45" s="13">
        <v>2.4999375015624611E-3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26FAC-3EE8-4DA6-BB63-B7E700406489}">
  <dimension ref="A1:B56"/>
  <sheetViews>
    <sheetView tabSelected="1" workbookViewId="0"/>
  </sheetViews>
  <sheetFormatPr defaultRowHeight="15" x14ac:dyDescent="0.25"/>
  <sheetData>
    <row r="1" spans="1:1" x14ac:dyDescent="0.25">
      <c r="A1" s="14" t="s">
        <v>104</v>
      </c>
    </row>
    <row r="2" spans="1:1" x14ac:dyDescent="0.25">
      <c r="A2">
        <v>200</v>
      </c>
    </row>
    <row r="3" spans="1:1" x14ac:dyDescent="0.25">
      <c r="A3">
        <v>240</v>
      </c>
    </row>
    <row r="4" spans="1:1" x14ac:dyDescent="0.25">
      <c r="A4">
        <v>290</v>
      </c>
    </row>
    <row r="5" spans="1:1" x14ac:dyDescent="0.25">
      <c r="A5">
        <v>300</v>
      </c>
    </row>
    <row r="6" spans="1:1" x14ac:dyDescent="0.25">
      <c r="A6">
        <v>230</v>
      </c>
    </row>
    <row r="7" spans="1:1" x14ac:dyDescent="0.25">
      <c r="A7">
        <v>210</v>
      </c>
    </row>
    <row r="8" spans="1:1" x14ac:dyDescent="0.25">
      <c r="A8">
        <v>350</v>
      </c>
    </row>
    <row r="9" spans="1:1" x14ac:dyDescent="0.25">
      <c r="A9">
        <v>310</v>
      </c>
    </row>
    <row r="10" spans="1:1" x14ac:dyDescent="0.25">
      <c r="A10">
        <v>260</v>
      </c>
    </row>
    <row r="11" spans="1:1" x14ac:dyDescent="0.25">
      <c r="A11">
        <v>230</v>
      </c>
    </row>
    <row r="12" spans="1:1" x14ac:dyDescent="0.25">
      <c r="A12">
        <v>240</v>
      </c>
    </row>
    <row r="13" spans="1:1" x14ac:dyDescent="0.25">
      <c r="A13">
        <v>250</v>
      </c>
    </row>
    <row r="14" spans="1:1" x14ac:dyDescent="0.25">
      <c r="A14">
        <v>210</v>
      </c>
    </row>
    <row r="15" spans="1:1" x14ac:dyDescent="0.25">
      <c r="A15">
        <v>300</v>
      </c>
    </row>
    <row r="16" spans="1:1" x14ac:dyDescent="0.25">
      <c r="A16">
        <v>230</v>
      </c>
    </row>
    <row r="17" spans="1:1" x14ac:dyDescent="0.25">
      <c r="A17">
        <v>230</v>
      </c>
    </row>
    <row r="18" spans="1:1" x14ac:dyDescent="0.25">
      <c r="A18">
        <v>210</v>
      </c>
    </row>
    <row r="19" spans="1:1" x14ac:dyDescent="0.25">
      <c r="A19">
        <v>270</v>
      </c>
    </row>
    <row r="20" spans="1:1" x14ac:dyDescent="0.25">
      <c r="A20">
        <v>200</v>
      </c>
    </row>
    <row r="21" spans="1:1" x14ac:dyDescent="0.25">
      <c r="A21">
        <v>250</v>
      </c>
    </row>
    <row r="22" spans="1:1" x14ac:dyDescent="0.25">
      <c r="A22">
        <v>230</v>
      </c>
    </row>
    <row r="23" spans="1:1" x14ac:dyDescent="0.25">
      <c r="A23">
        <v>250</v>
      </c>
    </row>
    <row r="24" spans="1:1" x14ac:dyDescent="0.25">
      <c r="A24">
        <v>270</v>
      </c>
    </row>
    <row r="25" spans="1:1" x14ac:dyDescent="0.25">
      <c r="A25">
        <v>310</v>
      </c>
    </row>
    <row r="26" spans="1:1" x14ac:dyDescent="0.25">
      <c r="A26">
        <v>240</v>
      </c>
    </row>
    <row r="27" spans="1:1" x14ac:dyDescent="0.25">
      <c r="A27">
        <v>230</v>
      </c>
    </row>
    <row r="28" spans="1:1" x14ac:dyDescent="0.25">
      <c r="A28">
        <v>290</v>
      </c>
    </row>
    <row r="29" spans="1:1" x14ac:dyDescent="0.25">
      <c r="A29">
        <v>200</v>
      </c>
    </row>
    <row r="30" spans="1:1" x14ac:dyDescent="0.25">
      <c r="A30">
        <v>190</v>
      </c>
    </row>
    <row r="31" spans="1:1" x14ac:dyDescent="0.25">
      <c r="A31">
        <v>230</v>
      </c>
    </row>
    <row r="32" spans="1:1" x14ac:dyDescent="0.25">
      <c r="A32">
        <v>240</v>
      </c>
    </row>
    <row r="33" spans="1:1" x14ac:dyDescent="0.25">
      <c r="A33">
        <v>200</v>
      </c>
    </row>
    <row r="34" spans="1:1" x14ac:dyDescent="0.25">
      <c r="A34">
        <v>210</v>
      </c>
    </row>
    <row r="35" spans="1:1" x14ac:dyDescent="0.25">
      <c r="A35">
        <v>210</v>
      </c>
    </row>
    <row r="36" spans="1:1" x14ac:dyDescent="0.25">
      <c r="A36">
        <v>200</v>
      </c>
    </row>
    <row r="37" spans="1:1" x14ac:dyDescent="0.25">
      <c r="A37">
        <v>190</v>
      </c>
    </row>
    <row r="38" spans="1:1" x14ac:dyDescent="0.25">
      <c r="A38">
        <v>220</v>
      </c>
    </row>
    <row r="39" spans="1:1" x14ac:dyDescent="0.25">
      <c r="A39">
        <v>220</v>
      </c>
    </row>
    <row r="40" spans="1:1" x14ac:dyDescent="0.25">
      <c r="A40">
        <v>200</v>
      </c>
    </row>
    <row r="41" spans="1:1" x14ac:dyDescent="0.25">
      <c r="A41">
        <v>200</v>
      </c>
    </row>
    <row r="42" spans="1:1" x14ac:dyDescent="0.25">
      <c r="A42">
        <v>200</v>
      </c>
    </row>
    <row r="43" spans="1:1" x14ac:dyDescent="0.25">
      <c r="A43">
        <v>260</v>
      </c>
    </row>
    <row r="44" spans="1:1" x14ac:dyDescent="0.25">
      <c r="A44">
        <v>220</v>
      </c>
    </row>
    <row r="45" spans="1:1" x14ac:dyDescent="0.25">
      <c r="A45">
        <v>260</v>
      </c>
    </row>
    <row r="46" spans="1:1" x14ac:dyDescent="0.25">
      <c r="A46">
        <v>280</v>
      </c>
    </row>
    <row r="47" spans="1:1" x14ac:dyDescent="0.25">
      <c r="A47">
        <v>190</v>
      </c>
    </row>
    <row r="48" spans="1:1" x14ac:dyDescent="0.25">
      <c r="A48">
        <v>270</v>
      </c>
    </row>
    <row r="49" spans="1:2" x14ac:dyDescent="0.25">
      <c r="A49">
        <v>220</v>
      </c>
    </row>
    <row r="50" spans="1:2" x14ac:dyDescent="0.25">
      <c r="A50">
        <v>190</v>
      </c>
    </row>
    <row r="51" spans="1:2" x14ac:dyDescent="0.25">
      <c r="A51">
        <v>270</v>
      </c>
    </row>
    <row r="52" spans="1:2" x14ac:dyDescent="0.25">
      <c r="A52">
        <v>290</v>
      </c>
    </row>
    <row r="53" spans="1:2" x14ac:dyDescent="0.25">
      <c r="A53">
        <f>MEDIAN(A2:A52)</f>
        <v>230</v>
      </c>
      <c r="B53" s="14" t="s">
        <v>63</v>
      </c>
    </row>
    <row r="54" spans="1:2" x14ac:dyDescent="0.25">
      <c r="A54">
        <f>MIN(A2:A52)</f>
        <v>190</v>
      </c>
      <c r="B54" t="s">
        <v>64</v>
      </c>
    </row>
    <row r="55" spans="1:2" x14ac:dyDescent="0.25">
      <c r="A55">
        <f>MAX(A3:A53)</f>
        <v>350</v>
      </c>
      <c r="B55" t="s">
        <v>65</v>
      </c>
    </row>
    <row r="56" spans="1:2" x14ac:dyDescent="0.25">
      <c r="A56">
        <f>AVERAGE(A2:A52)</f>
        <v>239.01960784313727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FhLAMP std curves</vt:lpstr>
      <vt:lpstr>SpikedDilutionAssessment</vt:lpstr>
      <vt:lpstr>SpikedFaecesgDNA</vt:lpstr>
      <vt:lpstr>FormattedSpikedFaecesgDNA</vt:lpstr>
      <vt:lpstr>SpikedFaecesEggs</vt:lpstr>
      <vt:lpstr>SpikedWater</vt:lpstr>
      <vt:lpstr>EPG Quant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</dc:creator>
  <cp:lastModifiedBy>LILY TRAN</cp:lastModifiedBy>
  <dcterms:created xsi:type="dcterms:W3CDTF">2021-08-15T13:15:54Z</dcterms:created>
  <dcterms:modified xsi:type="dcterms:W3CDTF">2022-01-30T13:04:30Z</dcterms:modified>
</cp:coreProperties>
</file>